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7"/>
  <workbookPr/>
  <mc:AlternateContent xmlns:mc="http://schemas.openxmlformats.org/markup-compatibility/2006">
    <mc:Choice Requires="x15">
      <x15ac:absPath xmlns:x15ac="http://schemas.microsoft.com/office/spreadsheetml/2010/11/ac" url="C:\Users\fcedu\Downloads\"/>
    </mc:Choice>
  </mc:AlternateContent>
  <xr:revisionPtr revIDLastSave="0" documentId="11_341A80BE321F5E5CCFD5B1187B173C023FCD42BD" xr6:coauthVersionLast="47" xr6:coauthVersionMax="47" xr10:uidLastSave="{00000000-0000-0000-0000-000000000000}"/>
  <workbookProtection workbookPassword="C643" lockStructure="1"/>
  <bookViews>
    <workbookView xWindow="0" yWindow="0" windowWidth="20430" windowHeight="6870" tabRatio="720" firstSheet="1" activeTab="1" xr2:uid="{00000000-000D-0000-FFFF-FFFF00000000}"/>
  </bookViews>
  <sheets>
    <sheet name="Painel" sheetId="1" r:id="rId1"/>
    <sheet name="FCF" sheetId="3" r:id="rId2"/>
    <sheet name="DFC resumo" sheetId="47" r:id="rId3"/>
    <sheet name="DRE" sheetId="2" r:id="rId4"/>
    <sheet name="DRE RESUMO" sheetId="46" r:id="rId5"/>
    <sheet name="Receitas" sheetId="4" r:id="rId6"/>
    <sheet name="WACC" sheetId="41" r:id="rId7"/>
    <sheet name="CAPEX" sheetId="7" r:id="rId8"/>
    <sheet name="CRONOGRAMA" sheetId="40" r:id="rId9"/>
    <sheet name="CAPEX Detalhado" sheetId="39" r:id="rId10"/>
    <sheet name="RECAPEX" sheetId="43" r:id="rId11"/>
    <sheet name="OPEX" sheetId="6" r:id="rId12"/>
    <sheet name="Opex - Gestão de resíduos" sheetId="44" r:id="rId13"/>
    <sheet name="Tributos" sheetId="5" r:id="rId14"/>
    <sheet name="TABELAS" sheetId="45" r:id="rId15"/>
    <sheet name="Amt" sheetId="8" r:id="rId16"/>
    <sheet name="Financiamento" sheetId="13" r:id="rId17"/>
    <sheet name="Macro" sheetId="9" r:id="rId18"/>
    <sheet name="MatrizdeUsos" sheetId="30" r:id="rId19"/>
    <sheet name="INSUMOS" sheetId="37" r:id="rId20"/>
    <sheet name="Estudo de Demanda" sheetId="24" r:id="rId21"/>
    <sheet name="benchmarks preços" sheetId="38" r:id="rId22"/>
    <sheet name="Planilha de comp serviços" sheetId="36" r:id="rId23"/>
  </sheets>
  <externalReferences>
    <externalReference r:id="rId24"/>
    <externalReference r:id="rId25"/>
  </externalReferences>
  <definedNames>
    <definedName name="__123Graph_ASIDECO" localSheetId="21" hidden="1">#REF!</definedName>
    <definedName name="__123Graph_BSIDECO" localSheetId="21" hidden="1">#REF!</definedName>
    <definedName name="__123Graph_CSIDECO" localSheetId="21" hidden="1">#REF!</definedName>
    <definedName name="__123Graph_XSIDECO" localSheetId="21" hidden="1">#REF!</definedName>
    <definedName name="_Fill" localSheetId="21" hidden="1">#REF!</definedName>
    <definedName name="_Fill" localSheetId="16" hidden="1">#REF!</definedName>
    <definedName name="_Fill" hidden="1">#REF!</definedName>
    <definedName name="_Fillb" localSheetId="16" hidden="1">#REF!</definedName>
    <definedName name="_Fillb" hidden="1">#REF!</definedName>
    <definedName name="_Key1" localSheetId="21" hidden="1">#REF!</definedName>
    <definedName name="_Key2" localSheetId="21" hidden="1">#REF!</definedName>
    <definedName name="_MatMult_A" localSheetId="21" hidden="1">#REF!</definedName>
    <definedName name="_Order1" hidden="1">255</definedName>
    <definedName name="_Order2" hidden="1">255</definedName>
    <definedName name="_Sort" localSheetId="21" hidden="1">#REF!</definedName>
    <definedName name="_Table1_In1" localSheetId="16" hidden="1">#REF!</definedName>
    <definedName name="_Table1_In1" hidden="1">#REF!</definedName>
    <definedName name="_Table1_Out" localSheetId="16" hidden="1">#REF!</definedName>
    <definedName name="_Table1_Out" hidden="1">#REF!</definedName>
    <definedName name="aaaa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aa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mortiz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nscount" hidden="1">1</definedName>
    <definedName name="aq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s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alanc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DI" localSheetId="21">'[1]MATRIZ DE USOS'!$L$2</definedName>
    <definedName name="BDI">#REF!</definedName>
    <definedName name="BLPH1" localSheetId="21" hidden="1">#REF!</definedName>
    <definedName name="BLPH1" hidden="1">#REF!</definedName>
    <definedName name="BLPH14" hidden="1">#REF!</definedName>
    <definedName name="BLPH15" hidden="1">#REF!</definedName>
    <definedName name="BLPH2" localSheetId="21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controle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controle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dd" localSheetId="2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preciaciones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preciac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RE" hidden="1">#REF!</definedName>
    <definedName name="fin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c.Resumen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anc.Resum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HTML_CodePage" hidden="1">1252</definedName>
    <definedName name="HTML_Control" localSheetId="21" hidden="1">{"'Database'!$A$1:$F$130"}</definedName>
    <definedName name="HTML_Description" hidden="1">""</definedName>
    <definedName name="HTML_Email" hidden="1">""</definedName>
    <definedName name="HTML_Header" localSheetId="21" hidden="1">"WBS Model"</definedName>
    <definedName name="HTML_LastUpdate" localSheetId="21" hidden="1">"04/07/2001"</definedName>
    <definedName name="HTML_LineAfter" hidden="1">FALSE</definedName>
    <definedName name="HTML_LineBefore" hidden="1">FALSE</definedName>
    <definedName name="HTML_Name" localSheetId="21" hidden="1">"Christian Jousselin"</definedName>
    <definedName name="HTML_OBDlg2" hidden="1">TRUE</definedName>
    <definedName name="HTML_OBDlg4" hidden="1">TRUE</definedName>
    <definedName name="HTML_OS" hidden="1">0</definedName>
    <definedName name="HTML_PathFile" localSheetId="21" hidden="1">"C:\Mes Documents\Capital\management de projet\wbs\WBS.htm"</definedName>
    <definedName name="HTML_PathFileMac" hidden="1">"Macintosh HD:HomePageStuff:New_Home_Page:datafile:histret.html"</definedName>
    <definedName name="HTML_Title" localSheetId="21" hidden="1">"WBS"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nflación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flac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ll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">#REF!</definedName>
    <definedName name="mmmmm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OA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A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_xlnm.Print_Area" localSheetId="22">'Planilha de comp serviços'!$A$1:$C$65</definedName>
    <definedName name="q" localSheetId="21" hidden="1">{"'Índice'!$A$1:$K$49"}</definedName>
    <definedName name="qq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 localSheetId="2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2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 localSheetId="2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2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19.66</definedName>
    <definedName name="ss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ss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mp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oto" localSheetId="21" hidden="1">{"'Database'!$A$1:$F$130"}</definedName>
    <definedName name="wrn.Comparaison._.DMU." localSheetId="2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impresión.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Model." localSheetId="21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Model.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VENTAS." localSheetId="2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2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vu.Print_Todo." localSheetId="2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2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x" localSheetId="16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x" hidden="1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xx" localSheetId="21" hidden="1">{"'Database'!$A$1:$F$130"}</definedName>
    <definedName name="xxxx" localSheetId="2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9" i="44" l="1"/>
  <c r="C12" i="44" s="1"/>
  <c r="C74" i="4" l="1"/>
  <c r="A82" i="4"/>
  <c r="A94" i="4" s="1"/>
  <c r="A83" i="4"/>
  <c r="A95" i="4" s="1"/>
  <c r="A75" i="4"/>
  <c r="A87" i="4" s="1"/>
  <c r="A76" i="4"/>
  <c r="A88" i="4" s="1"/>
  <c r="A77" i="4"/>
  <c r="A89" i="4" s="1"/>
  <c r="A78" i="4"/>
  <c r="A90" i="4" s="1"/>
  <c r="A79" i="4"/>
  <c r="A91" i="4" s="1"/>
  <c r="A80" i="4"/>
  <c r="A92" i="4" s="1"/>
  <c r="A81" i="4"/>
  <c r="A93" i="4" s="1"/>
  <c r="A74" i="4"/>
  <c r="A86" i="4" s="1"/>
  <c r="B4" i="24"/>
  <c r="G24" i="1"/>
  <c r="D18" i="47" l="1"/>
  <c r="E18" i="47"/>
  <c r="F18" i="47"/>
  <c r="G18" i="47"/>
  <c r="C34" i="47" s="1"/>
  <c r="H18" i="47"/>
  <c r="I18" i="47"/>
  <c r="J18" i="47"/>
  <c r="K18" i="47"/>
  <c r="L18" i="47"/>
  <c r="D34" i="47" s="1"/>
  <c r="M18" i="47"/>
  <c r="N18" i="47"/>
  <c r="O18" i="47"/>
  <c r="P18" i="47"/>
  <c r="Q18" i="47"/>
  <c r="E34" i="47" s="1"/>
  <c r="R18" i="47"/>
  <c r="S18" i="47"/>
  <c r="T18" i="47"/>
  <c r="U18" i="47"/>
  <c r="V18" i="47"/>
  <c r="F34" i="47" s="1"/>
  <c r="W18" i="47"/>
  <c r="X18" i="47"/>
  <c r="Y18" i="47"/>
  <c r="Z18" i="47"/>
  <c r="AA18" i="47"/>
  <c r="G34" i="47" s="1"/>
  <c r="AB18" i="47"/>
  <c r="AC18" i="47"/>
  <c r="AD18" i="47"/>
  <c r="AE18" i="47"/>
  <c r="AF18" i="47"/>
  <c r="H34" i="47" s="1"/>
  <c r="C18" i="47"/>
  <c r="B15" i="47"/>
  <c r="B31" i="47" s="1"/>
  <c r="B47" i="47" s="1"/>
  <c r="B16" i="47"/>
  <c r="B32" i="47" s="1"/>
  <c r="B48" i="47" s="1"/>
  <c r="B14" i="47"/>
  <c r="B30" i="47" s="1"/>
  <c r="B46" i="47" s="1"/>
  <c r="B13" i="47"/>
  <c r="B29" i="47" s="1"/>
  <c r="B45" i="47" s="1"/>
  <c r="B12" i="47"/>
  <c r="B28" i="47" s="1"/>
  <c r="B44" i="47" s="1"/>
  <c r="B11" i="47"/>
  <c r="B27" i="47" s="1"/>
  <c r="B43" i="47" s="1"/>
  <c r="B10" i="47"/>
  <c r="B26" i="47" s="1"/>
  <c r="B42" i="47" s="1"/>
  <c r="B4" i="47"/>
  <c r="B20" i="47" s="1"/>
  <c r="B36" i="47" s="1"/>
  <c r="B5" i="47"/>
  <c r="B21" i="47" s="1"/>
  <c r="B37" i="47" s="1"/>
  <c r="B6" i="47"/>
  <c r="B22" i="47" s="1"/>
  <c r="B38" i="47" s="1"/>
  <c r="B7" i="47"/>
  <c r="B23" i="47" s="1"/>
  <c r="B39" i="47" s="1"/>
  <c r="B8" i="47"/>
  <c r="B24" i="47" s="1"/>
  <c r="B40" i="47" s="1"/>
  <c r="B9" i="47"/>
  <c r="B25" i="47" s="1"/>
  <c r="B41" i="47" s="1"/>
  <c r="B3" i="47"/>
  <c r="B19" i="47" s="1"/>
  <c r="B35" i="47" s="1"/>
  <c r="B3" i="46"/>
  <c r="B16" i="46" s="1"/>
  <c r="B30" i="46" s="1"/>
  <c r="D15" i="46"/>
  <c r="E15" i="46"/>
  <c r="F15" i="46"/>
  <c r="G15" i="46"/>
  <c r="C29" i="46" s="1"/>
  <c r="H15" i="46"/>
  <c r="I15" i="46"/>
  <c r="J15" i="46"/>
  <c r="K15" i="46"/>
  <c r="L15" i="46"/>
  <c r="D29" i="46" s="1"/>
  <c r="M15" i="46"/>
  <c r="N15" i="46"/>
  <c r="O15" i="46"/>
  <c r="P15" i="46"/>
  <c r="Q15" i="46"/>
  <c r="E29" i="46" s="1"/>
  <c r="R15" i="46"/>
  <c r="S15" i="46"/>
  <c r="T15" i="46"/>
  <c r="U15" i="46"/>
  <c r="V15" i="46"/>
  <c r="F29" i="46" s="1"/>
  <c r="W15" i="46"/>
  <c r="X15" i="46"/>
  <c r="Y15" i="46"/>
  <c r="Z15" i="46"/>
  <c r="AA15" i="46"/>
  <c r="G29" i="46" s="1"/>
  <c r="AB15" i="46"/>
  <c r="AC15" i="46"/>
  <c r="AD15" i="46"/>
  <c r="AE15" i="46"/>
  <c r="AF15" i="46"/>
  <c r="H29" i="46" s="1"/>
  <c r="C15" i="46"/>
  <c r="AC10" i="46"/>
  <c r="AC23" i="46" s="1"/>
  <c r="AD10" i="46"/>
  <c r="AD23" i="46" s="1"/>
  <c r="AE10" i="46"/>
  <c r="AE23" i="46" s="1"/>
  <c r="AF10" i="46"/>
  <c r="AF23" i="46" s="1"/>
  <c r="H37" i="46" s="1"/>
  <c r="B12" i="46"/>
  <c r="B25" i="46" s="1"/>
  <c r="B39" i="46" s="1"/>
  <c r="B13" i="46"/>
  <c r="B26" i="46" s="1"/>
  <c r="B40" i="46" s="1"/>
  <c r="B11" i="46"/>
  <c r="B24" i="46" s="1"/>
  <c r="B38" i="46" s="1"/>
  <c r="B10" i="46"/>
  <c r="B23" i="46" s="1"/>
  <c r="B37" i="46" s="1"/>
  <c r="B9" i="46"/>
  <c r="B22" i="46" s="1"/>
  <c r="B36" i="46" s="1"/>
  <c r="B8" i="46"/>
  <c r="B21" i="46" s="1"/>
  <c r="B35" i="46" s="1"/>
  <c r="B7" i="46"/>
  <c r="B20" i="46" s="1"/>
  <c r="B34" i="46" s="1"/>
  <c r="B6" i="46"/>
  <c r="B19" i="46" s="1"/>
  <c r="B33" i="46" s="1"/>
  <c r="B5" i="46"/>
  <c r="B18" i="46" s="1"/>
  <c r="B32" i="46" s="1"/>
  <c r="B4" i="46"/>
  <c r="B17" i="46" s="1"/>
  <c r="B31" i="46" s="1"/>
  <c r="CA3" i="45"/>
  <c r="BS3" i="45"/>
  <c r="O3" i="45" a="1"/>
  <c r="H3" i="45"/>
  <c r="I3" i="45"/>
  <c r="J3" i="45"/>
  <c r="A66" i="6"/>
  <c r="A42" i="6"/>
  <c r="E6" i="44"/>
  <c r="C43" i="44"/>
  <c r="C48" i="44" s="1"/>
  <c r="H6" i="44" s="1"/>
  <c r="C32" i="44"/>
  <c r="C31" i="44"/>
  <c r="F4" i="44" s="1"/>
  <c r="C11" i="44"/>
  <c r="F6" i="44"/>
  <c r="F5" i="44"/>
  <c r="AR14" i="24"/>
  <c r="AM14" i="24"/>
  <c r="AN14" i="24"/>
  <c r="AO14" i="24"/>
  <c r="AP14" i="24"/>
  <c r="AQ14" i="24"/>
  <c r="O3" i="45" l="1"/>
  <c r="AJ3" i="45" s="1"/>
  <c r="AK3" i="45"/>
  <c r="AL3" i="45"/>
  <c r="AM3" i="45"/>
  <c r="AN3" i="45"/>
  <c r="AO3" i="45"/>
  <c r="AP3" i="45"/>
  <c r="AQ3" i="45"/>
  <c r="AR3" i="45"/>
  <c r="AS3" i="45"/>
  <c r="AT3" i="45"/>
  <c r="AU3" i="45"/>
  <c r="AV3" i="45"/>
  <c r="BF3" i="45" s="1"/>
  <c r="AW3" i="45"/>
  <c r="AX3" i="45"/>
  <c r="BH3" i="45" s="1"/>
  <c r="AY3" i="45"/>
  <c r="BI3" i="45" s="1"/>
  <c r="AZ3" i="45"/>
  <c r="BA3" i="45"/>
  <c r="BB3" i="45"/>
  <c r="BG3" i="45" s="1"/>
  <c r="G6" i="44"/>
  <c r="E4" i="44"/>
  <c r="G4" i="44" s="1"/>
  <c r="C36" i="44"/>
  <c r="C41" i="44" s="1"/>
  <c r="C53" i="44"/>
  <c r="I6" i="44" l="1"/>
  <c r="C46" i="44"/>
  <c r="C51" i="44" l="1"/>
  <c r="H4" i="44"/>
  <c r="E3" i="4"/>
  <c r="F3" i="4"/>
  <c r="C21" i="1"/>
  <c r="I4" i="44" l="1"/>
  <c r="D40" i="1"/>
  <c r="C40" i="1"/>
  <c r="C38" i="1"/>
  <c r="C18" i="1" s="1"/>
  <c r="C37" i="1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E29" i="2"/>
  <c r="AI29" i="2"/>
  <c r="AJ29" i="2"/>
  <c r="AK29" i="2"/>
  <c r="AL29" i="2"/>
  <c r="AM29" i="2"/>
  <c r="AN29" i="2"/>
  <c r="C5" i="1"/>
  <c r="AN28" i="2"/>
  <c r="E38" i="6"/>
  <c r="E51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38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 l="1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E75" i="6"/>
  <c r="K14" i="1" l="1"/>
  <c r="AN29" i="7"/>
  <c r="E29" i="7"/>
  <c r="A23" i="7"/>
  <c r="A24" i="7"/>
  <c r="A22" i="7"/>
  <c r="E44" i="43"/>
  <c r="F44" i="43" s="1"/>
  <c r="E43" i="43"/>
  <c r="F43" i="43" s="1"/>
  <c r="N28" i="7" s="1"/>
  <c r="E42" i="43"/>
  <c r="E41" i="43"/>
  <c r="E40" i="43"/>
  <c r="E39" i="43"/>
  <c r="E38" i="43"/>
  <c r="E35" i="43"/>
  <c r="E34" i="43"/>
  <c r="F34" i="43" s="1"/>
  <c r="E33" i="43"/>
  <c r="F33" i="43" s="1"/>
  <c r="E31" i="43"/>
  <c r="E28" i="43"/>
  <c r="E27" i="43"/>
  <c r="F27" i="43" s="1"/>
  <c r="E26" i="43"/>
  <c r="E25" i="43"/>
  <c r="E23" i="43"/>
  <c r="E29" i="43" s="1"/>
  <c r="F19" i="43"/>
  <c r="AC25" i="7" s="1"/>
  <c r="E19" i="43"/>
  <c r="E18" i="43"/>
  <c r="E16" i="43"/>
  <c r="E11" i="43"/>
  <c r="E10" i="43"/>
  <c r="E14" i="43" s="1"/>
  <c r="F6" i="43"/>
  <c r="X24" i="7" s="1"/>
  <c r="C6" i="43"/>
  <c r="C7" i="43" s="1"/>
  <c r="F5" i="43"/>
  <c r="F4" i="43"/>
  <c r="D4" i="43"/>
  <c r="E3" i="43"/>
  <c r="E8" i="43" s="1"/>
  <c r="N22" i="7" l="1"/>
  <c r="X22" i="7"/>
  <c r="N23" i="7"/>
  <c r="X23" i="7"/>
  <c r="AC26" i="7"/>
  <c r="X26" i="7"/>
  <c r="S26" i="7"/>
  <c r="N26" i="7"/>
  <c r="I26" i="7"/>
  <c r="I27" i="7"/>
  <c r="X27" i="7"/>
  <c r="N27" i="7"/>
  <c r="AC27" i="7"/>
  <c r="S27" i="7"/>
  <c r="AC28" i="7"/>
  <c r="U28" i="7"/>
  <c r="U29" i="7" s="1"/>
  <c r="AB28" i="7"/>
  <c r="AB29" i="7" s="1"/>
  <c r="AA28" i="7"/>
  <c r="AA29" i="7" s="1"/>
  <c r="I28" i="7"/>
  <c r="E21" i="43"/>
  <c r="S25" i="7"/>
  <c r="X28" i="7"/>
  <c r="P28" i="7"/>
  <c r="P29" i="7" s="1"/>
  <c r="H28" i="7"/>
  <c r="H29" i="7" s="1"/>
  <c r="T28" i="7"/>
  <c r="T29" i="7" s="1"/>
  <c r="S28" i="7"/>
  <c r="I25" i="7"/>
  <c r="I29" i="7" s="1"/>
  <c r="R28" i="7"/>
  <c r="R29" i="7" s="1"/>
  <c r="N25" i="7"/>
  <c r="Q28" i="7"/>
  <c r="Q29" i="7" s="1"/>
  <c r="E36" i="43"/>
  <c r="N24" i="7"/>
  <c r="N29" i="7" s="1"/>
  <c r="X25" i="7"/>
  <c r="X29" i="7" s="1"/>
  <c r="W28" i="7"/>
  <c r="W29" i="7" s="1"/>
  <c r="O28" i="7"/>
  <c r="O29" i="7" s="1"/>
  <c r="G28" i="7"/>
  <c r="G29" i="7" s="1"/>
  <c r="M28" i="7"/>
  <c r="M29" i="7" s="1"/>
  <c r="L28" i="7"/>
  <c r="L29" i="7" s="1"/>
  <c r="K28" i="7"/>
  <c r="K29" i="7" s="1"/>
  <c r="Z28" i="7"/>
  <c r="Z29" i="7" s="1"/>
  <c r="J28" i="7"/>
  <c r="J29" i="7" s="1"/>
  <c r="Y28" i="7"/>
  <c r="Y29" i="7" s="1"/>
  <c r="F28" i="7"/>
  <c r="F29" i="7" s="1"/>
  <c r="V28" i="7"/>
  <c r="V29" i="7" s="1"/>
  <c r="S29" i="7" l="1"/>
  <c r="AC29" i="7"/>
  <c r="AN33" i="5"/>
  <c r="AN19" i="5" s="1"/>
  <c r="AN34" i="5"/>
  <c r="AN20" i="5" s="1"/>
  <c r="AN35" i="5"/>
  <c r="AN21" i="5" s="1"/>
  <c r="AN36" i="5"/>
  <c r="AN22" i="5" s="1"/>
  <c r="AN37" i="5"/>
  <c r="AN23" i="5" s="1"/>
  <c r="AN38" i="5"/>
  <c r="AN24" i="5" s="1"/>
  <c r="AN39" i="5"/>
  <c r="AN25" i="5" s="1"/>
  <c r="AN40" i="5"/>
  <c r="AN26" i="5" s="1"/>
  <c r="AN41" i="5"/>
  <c r="AN27" i="5" s="1"/>
  <c r="AN13" i="5" s="1"/>
  <c r="AN42" i="5"/>
  <c r="AN28" i="5" s="1"/>
  <c r="AN14" i="5" s="1"/>
  <c r="AN43" i="5"/>
  <c r="AN29" i="5" s="1"/>
  <c r="AN15" i="5" s="1"/>
  <c r="AN44" i="5"/>
  <c r="AN30" i="5" s="1"/>
  <c r="AN16" i="5" s="1"/>
  <c r="AN45" i="5"/>
  <c r="AN31" i="5" s="1"/>
  <c r="AN17" i="5" s="1"/>
  <c r="AN46" i="5"/>
  <c r="AN32" i="5" s="1"/>
  <c r="AN18" i="5" s="1"/>
  <c r="AI7" i="5"/>
  <c r="AJ7" i="5"/>
  <c r="AK7" i="5"/>
  <c r="AL7" i="5"/>
  <c r="AM7" i="5"/>
  <c r="AN7" i="5"/>
  <c r="AN75" i="6"/>
  <c r="C4" i="1"/>
  <c r="C5" i="41"/>
  <c r="C9" i="41"/>
  <c r="C13" i="41"/>
  <c r="C16" i="41" s="1"/>
  <c r="C18" i="41" s="1"/>
  <c r="C20" i="41"/>
  <c r="C27" i="41"/>
  <c r="C29" i="41" s="1"/>
  <c r="B30" i="41"/>
  <c r="C30" i="41"/>
  <c r="C21" i="41" l="1"/>
  <c r="C31" i="41"/>
  <c r="C14" i="41"/>
  <c r="G18" i="7"/>
  <c r="H18" i="7"/>
  <c r="I18" i="7"/>
  <c r="J18" i="7"/>
  <c r="K18" i="7"/>
  <c r="K15" i="3" s="1"/>
  <c r="I11" i="47" s="1"/>
  <c r="I27" i="47" s="1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17" i="7"/>
  <c r="K13" i="1" s="1"/>
  <c r="F14" i="7"/>
  <c r="F11" i="7"/>
  <c r="B38" i="40"/>
  <c r="B47" i="40"/>
  <c r="E47" i="40"/>
  <c r="E38" i="40" s="1"/>
  <c r="B56" i="40"/>
  <c r="E56" i="40"/>
  <c r="A16" i="7"/>
  <c r="A15" i="7"/>
  <c r="A14" i="7"/>
  <c r="A13" i="7"/>
  <c r="A28" i="7" s="1"/>
  <c r="A12" i="7"/>
  <c r="A27" i="7" s="1"/>
  <c r="A11" i="7"/>
  <c r="A26" i="7" s="1"/>
  <c r="A10" i="7"/>
  <c r="A25" i="7" s="1"/>
  <c r="A9" i="7"/>
  <c r="A8" i="7"/>
  <c r="H52" i="39"/>
  <c r="E16" i="7" s="1"/>
  <c r="H50" i="39"/>
  <c r="H49" i="39" s="1"/>
  <c r="E15" i="7" s="1"/>
  <c r="H48" i="39"/>
  <c r="H47" i="39"/>
  <c r="H46" i="39"/>
  <c r="F45" i="39"/>
  <c r="F44" i="39"/>
  <c r="F43" i="39"/>
  <c r="H41" i="39"/>
  <c r="H40" i="39"/>
  <c r="H39" i="39"/>
  <c r="F38" i="39"/>
  <c r="F37" i="39"/>
  <c r="H35" i="39"/>
  <c r="H34" i="39"/>
  <c r="H33" i="39"/>
  <c r="G32" i="39"/>
  <c r="H32" i="39" s="1"/>
  <c r="H31" i="39"/>
  <c r="G30" i="39"/>
  <c r="F30" i="39"/>
  <c r="F29" i="39"/>
  <c r="F28" i="39"/>
  <c r="H25" i="39"/>
  <c r="H24" i="39"/>
  <c r="H23" i="39"/>
  <c r="H22" i="39"/>
  <c r="F21" i="39"/>
  <c r="H21" i="39" s="1"/>
  <c r="G20" i="39"/>
  <c r="F20" i="39"/>
  <c r="G19" i="39"/>
  <c r="G28" i="39" s="1"/>
  <c r="F19" i="39"/>
  <c r="H19" i="39" s="1"/>
  <c r="F17" i="39"/>
  <c r="H17" i="39" s="1"/>
  <c r="H16" i="39"/>
  <c r="F15" i="39"/>
  <c r="F14" i="39"/>
  <c r="H14" i="39" s="1"/>
  <c r="H12" i="39"/>
  <c r="H11" i="39"/>
  <c r="F10" i="39"/>
  <c r="H10" i="39" s="1"/>
  <c r="F9" i="39"/>
  <c r="E9" i="39"/>
  <c r="H8" i="39" s="1"/>
  <c r="H7" i="39" s="1"/>
  <c r="H6" i="39" s="1"/>
  <c r="H3" i="39"/>
  <c r="H2" i="39"/>
  <c r="E8" i="7" s="1"/>
  <c r="H9" i="39" l="1"/>
  <c r="C33" i="41"/>
  <c r="G3" i="1" s="1"/>
  <c r="H30" i="39"/>
  <c r="H20" i="39"/>
  <c r="H15" i="39"/>
  <c r="H13" i="39" s="1"/>
  <c r="E10" i="7" s="1"/>
  <c r="H18" i="39"/>
  <c r="E11" i="7" s="1"/>
  <c r="F18" i="7"/>
  <c r="E17" i="8" s="1"/>
  <c r="H5" i="39"/>
  <c r="E9" i="7" s="1"/>
  <c r="H28" i="39"/>
  <c r="G37" i="39"/>
  <c r="G29" i="39"/>
  <c r="G38" i="39"/>
  <c r="AO57" i="6"/>
  <c r="F56" i="6"/>
  <c r="AO33" i="6"/>
  <c r="AL32" i="6"/>
  <c r="AM32" i="6" s="1"/>
  <c r="F32" i="6"/>
  <c r="T5" i="1"/>
  <c r="T6" i="1"/>
  <c r="T7" i="1"/>
  <c r="T8" i="1"/>
  <c r="T9" i="1"/>
  <c r="T10" i="1"/>
  <c r="T11" i="1"/>
  <c r="T4" i="1"/>
  <c r="K5" i="1"/>
  <c r="K6" i="1"/>
  <c r="K7" i="1"/>
  <c r="K8" i="1"/>
  <c r="K9" i="1"/>
  <c r="K10" i="1"/>
  <c r="K11" i="1"/>
  <c r="K12" i="1"/>
  <c r="K4" i="1"/>
  <c r="D115" i="38"/>
  <c r="F115" i="38" s="1"/>
  <c r="B70" i="4" s="1"/>
  <c r="D114" i="38"/>
  <c r="F114" i="38" s="1"/>
  <c r="D113" i="38"/>
  <c r="F113" i="38" s="1"/>
  <c r="D112" i="38"/>
  <c r="F112" i="38" s="1"/>
  <c r="D111" i="38"/>
  <c r="F111" i="38" s="1"/>
  <c r="D110" i="38"/>
  <c r="F110" i="38" s="1"/>
  <c r="D109" i="38"/>
  <c r="F109" i="38" s="1"/>
  <c r="D108" i="38"/>
  <c r="F108" i="38" s="1"/>
  <c r="D107" i="38"/>
  <c r="F107" i="38" s="1"/>
  <c r="B69" i="4" s="1"/>
  <c r="C106" i="38"/>
  <c r="E49" i="38"/>
  <c r="E50" i="38" s="1"/>
  <c r="E51" i="38" s="1"/>
  <c r="E42" i="38"/>
  <c r="E41" i="38"/>
  <c r="E40" i="38"/>
  <c r="E39" i="38"/>
  <c r="E38" i="38"/>
  <c r="E37" i="38"/>
  <c r="E36" i="38"/>
  <c r="E35" i="38"/>
  <c r="E34" i="38"/>
  <c r="E32" i="38"/>
  <c r="E27" i="38"/>
  <c r="E26" i="38"/>
  <c r="E28" i="38" s="1"/>
  <c r="E25" i="38"/>
  <c r="E22" i="38"/>
  <c r="C22" i="38"/>
  <c r="C17" i="38"/>
  <c r="E12" i="38"/>
  <c r="H38" i="39" l="1"/>
  <c r="G44" i="39"/>
  <c r="H44" i="39" s="1"/>
  <c r="H29" i="39"/>
  <c r="H27" i="39" s="1"/>
  <c r="G45" i="39"/>
  <c r="H45" i="39" s="1"/>
  <c r="G43" i="39"/>
  <c r="H43" i="39" s="1"/>
  <c r="H42" i="39" s="1"/>
  <c r="E14" i="7" s="1"/>
  <c r="H37" i="39"/>
  <c r="H36" i="39" s="1"/>
  <c r="E13" i="7" s="1"/>
  <c r="G56" i="6"/>
  <c r="C38" i="6"/>
  <c r="C62" i="6"/>
  <c r="G32" i="6"/>
  <c r="F106" i="38"/>
  <c r="B68" i="4" s="1"/>
  <c r="H32" i="6" l="1"/>
  <c r="I32" i="6" s="1"/>
  <c r="J32" i="6" s="1"/>
  <c r="K32" i="6" s="1"/>
  <c r="L32" i="6" s="1"/>
  <c r="M32" i="6" s="1"/>
  <c r="N32" i="6" s="1"/>
  <c r="O32" i="6" s="1"/>
  <c r="P32" i="6" s="1"/>
  <c r="Q32" i="6" s="1"/>
  <c r="R32" i="6" s="1"/>
  <c r="S32" i="6" s="1"/>
  <c r="T32" i="6" s="1"/>
  <c r="U32" i="6" s="1"/>
  <c r="V32" i="6" s="1"/>
  <c r="W32" i="6" s="1"/>
  <c r="X32" i="6" s="1"/>
  <c r="Y32" i="6" s="1"/>
  <c r="Z32" i="6" s="1"/>
  <c r="AA32" i="6" s="1"/>
  <c r="AB32" i="6" s="1"/>
  <c r="AC32" i="6" s="1"/>
  <c r="AD32" i="6" s="1"/>
  <c r="AE32" i="6" s="1"/>
  <c r="AF32" i="6" s="1"/>
  <c r="AG32" i="6" s="1"/>
  <c r="AH32" i="6" s="1"/>
  <c r="C32" i="6"/>
  <c r="H56" i="6"/>
  <c r="I56" i="6" s="1"/>
  <c r="J56" i="6" s="1"/>
  <c r="K56" i="6" s="1"/>
  <c r="L56" i="6" s="1"/>
  <c r="M56" i="6" s="1"/>
  <c r="N56" i="6" s="1"/>
  <c r="O56" i="6" s="1"/>
  <c r="P56" i="6" s="1"/>
  <c r="Q56" i="6" s="1"/>
  <c r="R56" i="6" s="1"/>
  <c r="S56" i="6" s="1"/>
  <c r="T56" i="6" s="1"/>
  <c r="U56" i="6" s="1"/>
  <c r="V56" i="6" s="1"/>
  <c r="W56" i="6" s="1"/>
  <c r="X56" i="6" s="1"/>
  <c r="Y56" i="6" s="1"/>
  <c r="Z56" i="6" s="1"/>
  <c r="AA56" i="6" s="1"/>
  <c r="AB56" i="6" s="1"/>
  <c r="AC56" i="6" s="1"/>
  <c r="AD56" i="6" s="1"/>
  <c r="AE56" i="6" s="1"/>
  <c r="AF56" i="6" s="1"/>
  <c r="AG56" i="6" s="1"/>
  <c r="AH56" i="6" s="1"/>
  <c r="AI56" i="6" s="1"/>
  <c r="AJ56" i="6" s="1"/>
  <c r="AK56" i="6" s="1"/>
  <c r="AL56" i="6" s="1"/>
  <c r="AM56" i="6" s="1"/>
  <c r="AN56" i="6" s="1"/>
  <c r="C56" i="6"/>
  <c r="E39" i="4"/>
  <c r="H55" i="39"/>
  <c r="E12" i="7"/>
  <c r="F56" i="39"/>
  <c r="H56" i="39" s="1"/>
  <c r="C8" i="36"/>
  <c r="C15" i="36"/>
  <c r="C22" i="36"/>
  <c r="C30" i="36"/>
  <c r="C38" i="36"/>
  <c r="C45" i="36"/>
  <c r="C52" i="36"/>
  <c r="C58" i="36"/>
  <c r="C65" i="36"/>
  <c r="E68" i="36"/>
  <c r="F15" i="3"/>
  <c r="D11" i="47" s="1"/>
  <c r="D27" i="47" s="1"/>
  <c r="G15" i="3"/>
  <c r="E11" i="47" s="1"/>
  <c r="E27" i="47" s="1"/>
  <c r="H15" i="3"/>
  <c r="F11" i="47" s="1"/>
  <c r="F27" i="47" s="1"/>
  <c r="I15" i="3"/>
  <c r="G11" i="47" s="1"/>
  <c r="G27" i="47" s="1"/>
  <c r="C43" i="47" s="1"/>
  <c r="J15" i="3"/>
  <c r="H11" i="47" s="1"/>
  <c r="H27" i="47" s="1"/>
  <c r="L15" i="3"/>
  <c r="J11" i="47" s="1"/>
  <c r="J27" i="47" s="1"/>
  <c r="M15" i="3"/>
  <c r="K11" i="47" s="1"/>
  <c r="K27" i="47" s="1"/>
  <c r="O15" i="3"/>
  <c r="M11" i="47" s="1"/>
  <c r="M27" i="47" s="1"/>
  <c r="P15" i="3"/>
  <c r="N11" i="47" s="1"/>
  <c r="N27" i="47" s="1"/>
  <c r="Q15" i="3"/>
  <c r="O11" i="47" s="1"/>
  <c r="O27" i="47" s="1"/>
  <c r="R15" i="3"/>
  <c r="P11" i="47" s="1"/>
  <c r="P27" i="47" s="1"/>
  <c r="S15" i="3"/>
  <c r="Q11" i="47" s="1"/>
  <c r="Q27" i="47" s="1"/>
  <c r="E43" i="47" s="1"/>
  <c r="T15" i="3"/>
  <c r="R11" i="47" s="1"/>
  <c r="R27" i="47" s="1"/>
  <c r="U15" i="3"/>
  <c r="S11" i="47" s="1"/>
  <c r="S27" i="47" s="1"/>
  <c r="V15" i="3"/>
  <c r="T11" i="47" s="1"/>
  <c r="T27" i="47" s="1"/>
  <c r="W15" i="3"/>
  <c r="U11" i="47" s="1"/>
  <c r="U27" i="47" s="1"/>
  <c r="Y15" i="3"/>
  <c r="W11" i="47" s="1"/>
  <c r="W27" i="47" s="1"/>
  <c r="Z15" i="3"/>
  <c r="X11" i="47" s="1"/>
  <c r="X27" i="47" s="1"/>
  <c r="AA15" i="3"/>
  <c r="Y11" i="47" s="1"/>
  <c r="Y27" i="47" s="1"/>
  <c r="AB15" i="3"/>
  <c r="Z11" i="47" s="1"/>
  <c r="Z27" i="47" s="1"/>
  <c r="AC15" i="3"/>
  <c r="AA11" i="47" s="1"/>
  <c r="AA27" i="47" s="1"/>
  <c r="G43" i="47" s="1"/>
  <c r="A29" i="7"/>
  <c r="D13" i="7"/>
  <c r="M9" i="1" s="1"/>
  <c r="D8" i="7"/>
  <c r="M4" i="1" s="1"/>
  <c r="E50" i="4" l="1"/>
  <c r="E82" i="4"/>
  <c r="E61" i="4"/>
  <c r="H57" i="39"/>
  <c r="E17" i="7"/>
  <c r="N15" i="3"/>
  <c r="L11" i="47" s="1"/>
  <c r="L27" i="47" s="1"/>
  <c r="D43" i="47" s="1"/>
  <c r="X15" i="3"/>
  <c r="V11" i="47" s="1"/>
  <c r="V27" i="47" s="1"/>
  <c r="F43" i="47" s="1"/>
  <c r="D17" i="7" l="1"/>
  <c r="M13" i="1" s="1"/>
  <c r="E18" i="7"/>
  <c r="E38" i="4"/>
  <c r="E81" i="4" s="1"/>
  <c r="C14" i="6"/>
  <c r="R10" i="1" s="1"/>
  <c r="F3" i="6"/>
  <c r="E15" i="3" l="1"/>
  <c r="C11" i="47" s="1"/>
  <c r="C27" i="47" s="1"/>
  <c r="D17" i="8"/>
  <c r="E49" i="4"/>
  <c r="E60" i="4"/>
  <c r="F39" i="4"/>
  <c r="F82" i="4" s="1"/>
  <c r="F38" i="4"/>
  <c r="F81" i="4" s="1"/>
  <c r="D9" i="7"/>
  <c r="M5" i="1" s="1"/>
  <c r="D15" i="7"/>
  <c r="M11" i="1" s="1"/>
  <c r="D16" i="7"/>
  <c r="M12" i="1" s="1"/>
  <c r="D11" i="7"/>
  <c r="M7" i="1" s="1"/>
  <c r="D12" i="7"/>
  <c r="M8" i="1" s="1"/>
  <c r="D10" i="7"/>
  <c r="M6" i="1" s="1"/>
  <c r="D18" i="8" l="1"/>
  <c r="F49" i="4"/>
  <c r="F60" i="4"/>
  <c r="F61" i="4"/>
  <c r="F50" i="4"/>
  <c r="D14" i="7"/>
  <c r="M10" i="1" s="1"/>
  <c r="E25" i="2" l="1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D25" i="2"/>
  <c r="AO9" i="6"/>
  <c r="D120" i="24" l="1"/>
  <c r="D119" i="24"/>
  <c r="D118" i="24"/>
  <c r="D117" i="24"/>
  <c r="D116" i="24"/>
  <c r="D115" i="24"/>
  <c r="D114" i="24"/>
  <c r="C113" i="24"/>
  <c r="F95" i="24"/>
  <c r="G95" i="24" s="1"/>
  <c r="H95" i="24" s="1"/>
  <c r="H102" i="24" s="1"/>
  <c r="H18" i="24" s="1"/>
  <c r="I72" i="24"/>
  <c r="C72" i="24"/>
  <c r="I71" i="24"/>
  <c r="C71" i="24"/>
  <c r="I70" i="24"/>
  <c r="C70" i="24"/>
  <c r="I69" i="24"/>
  <c r="I68" i="24"/>
  <c r="I67" i="24"/>
  <c r="I66" i="24"/>
  <c r="I65" i="24"/>
  <c r="I64" i="24"/>
  <c r="I63" i="24"/>
  <c r="I62" i="24"/>
  <c r="I61" i="24"/>
  <c r="H60" i="24"/>
  <c r="G60" i="24"/>
  <c r="F60" i="24"/>
  <c r="D60" i="24"/>
  <c r="E54" i="24"/>
  <c r="D53" i="24"/>
  <c r="H39" i="24"/>
  <c r="H38" i="24"/>
  <c r="H40" i="24" s="1"/>
  <c r="H44" i="24" s="1"/>
  <c r="I35" i="24"/>
  <c r="I39" i="24" s="1"/>
  <c r="I34" i="24"/>
  <c r="I38" i="24" s="1"/>
  <c r="I40" i="24" s="1"/>
  <c r="I31" i="24"/>
  <c r="J31" i="24" s="1"/>
  <c r="K31" i="24" s="1"/>
  <c r="L31" i="24" s="1"/>
  <c r="M31" i="24" s="1"/>
  <c r="N31" i="24" s="1"/>
  <c r="O31" i="24" s="1"/>
  <c r="P31" i="24" s="1"/>
  <c r="Q31" i="24" s="1"/>
  <c r="R31" i="24" s="1"/>
  <c r="S31" i="24" s="1"/>
  <c r="T31" i="24" s="1"/>
  <c r="U31" i="24" s="1"/>
  <c r="V31" i="24" s="1"/>
  <c r="W31" i="24" s="1"/>
  <c r="X31" i="24" s="1"/>
  <c r="Y31" i="24" s="1"/>
  <c r="Z31" i="24" s="1"/>
  <c r="AA31" i="24" s="1"/>
  <c r="AB31" i="24" s="1"/>
  <c r="AC31" i="24" s="1"/>
  <c r="AD31" i="24" s="1"/>
  <c r="AE31" i="24" s="1"/>
  <c r="AF31" i="24" s="1"/>
  <c r="AG31" i="24" s="1"/>
  <c r="AH31" i="24" s="1"/>
  <c r="AI31" i="24" s="1"/>
  <c r="AJ31" i="24" s="1"/>
  <c r="AK31" i="24" s="1"/>
  <c r="AL31" i="24" s="1"/>
  <c r="H4" i="24"/>
  <c r="I4" i="24" s="1"/>
  <c r="J4" i="24" s="1"/>
  <c r="K4" i="24" s="1"/>
  <c r="L4" i="24" s="1"/>
  <c r="M4" i="24" s="1"/>
  <c r="N4" i="24" s="1"/>
  <c r="O4" i="24" s="1"/>
  <c r="P4" i="24" s="1"/>
  <c r="Q4" i="24" s="1"/>
  <c r="R4" i="24" s="1"/>
  <c r="S4" i="24" s="1"/>
  <c r="T4" i="24" s="1"/>
  <c r="U4" i="24" s="1"/>
  <c r="V4" i="24" s="1"/>
  <c r="W4" i="24" s="1"/>
  <c r="X4" i="24" s="1"/>
  <c r="Y4" i="24" s="1"/>
  <c r="Z4" i="24" s="1"/>
  <c r="AA4" i="24" s="1"/>
  <c r="AB4" i="24" s="1"/>
  <c r="AC4" i="24" s="1"/>
  <c r="AD4" i="24" s="1"/>
  <c r="AE4" i="24" s="1"/>
  <c r="AF4" i="24" s="1"/>
  <c r="AG4" i="24" s="1"/>
  <c r="AH4" i="24" s="1"/>
  <c r="AI4" i="24" s="1"/>
  <c r="AJ4" i="24" s="1"/>
  <c r="AK4" i="24" s="1"/>
  <c r="AL4" i="24" s="1"/>
  <c r="AM4" i="24" s="1"/>
  <c r="AN4" i="24" s="1"/>
  <c r="AO4" i="24" s="1"/>
  <c r="AP4" i="24" s="1"/>
  <c r="AQ4" i="24" s="1"/>
  <c r="AR4" i="24" s="1"/>
  <c r="I3" i="24"/>
  <c r="J3" i="24" s="1"/>
  <c r="K3" i="24" s="1"/>
  <c r="L3" i="24" s="1"/>
  <c r="M3" i="24" s="1"/>
  <c r="N3" i="24" s="1"/>
  <c r="O3" i="24" s="1"/>
  <c r="P3" i="24" s="1"/>
  <c r="Q3" i="24" s="1"/>
  <c r="R3" i="24" s="1"/>
  <c r="S3" i="24" s="1"/>
  <c r="T3" i="24" s="1"/>
  <c r="U3" i="24" s="1"/>
  <c r="V3" i="24" s="1"/>
  <c r="W3" i="24" s="1"/>
  <c r="X3" i="24" s="1"/>
  <c r="Y3" i="24" s="1"/>
  <c r="Z3" i="24" s="1"/>
  <c r="AA3" i="24" s="1"/>
  <c r="AB3" i="24" s="1"/>
  <c r="AC3" i="24" s="1"/>
  <c r="AD3" i="24" s="1"/>
  <c r="AE3" i="24" s="1"/>
  <c r="AF3" i="24" s="1"/>
  <c r="AG3" i="24" s="1"/>
  <c r="AH3" i="24" s="1"/>
  <c r="AI3" i="24" s="1"/>
  <c r="AJ3" i="24" s="1"/>
  <c r="AK3" i="24" s="1"/>
  <c r="AL3" i="24" s="1"/>
  <c r="AM3" i="24" s="1"/>
  <c r="AN3" i="24" s="1"/>
  <c r="AO3" i="24" s="1"/>
  <c r="AP3" i="24" s="1"/>
  <c r="AQ3" i="24" s="1"/>
  <c r="AR3" i="24" s="1"/>
  <c r="D113" i="24" l="1"/>
  <c r="AF125" i="24"/>
  <c r="AF13" i="24" s="1"/>
  <c r="AL124" i="24"/>
  <c r="AL8" i="24" s="1"/>
  <c r="M124" i="24"/>
  <c r="M8" i="24" s="1"/>
  <c r="W125" i="24"/>
  <c r="W13" i="24" s="1"/>
  <c r="V125" i="24"/>
  <c r="V13" i="24" s="1"/>
  <c r="P125" i="24"/>
  <c r="P13" i="24" s="1"/>
  <c r="N124" i="24"/>
  <c r="N8" i="24" s="1"/>
  <c r="Z126" i="24"/>
  <c r="Z19" i="24" s="1"/>
  <c r="AE125" i="24"/>
  <c r="AE13" i="24" s="1"/>
  <c r="AK124" i="24"/>
  <c r="AK8" i="24" s="1"/>
  <c r="P126" i="24"/>
  <c r="P19" i="24" s="1"/>
  <c r="O126" i="24"/>
  <c r="O19" i="24" s="1"/>
  <c r="V124" i="24"/>
  <c r="V8" i="24" s="1"/>
  <c r="K126" i="24"/>
  <c r="K19" i="24" s="1"/>
  <c r="I125" i="24"/>
  <c r="I13" i="24" s="1"/>
  <c r="O124" i="24"/>
  <c r="O8" i="24" s="1"/>
  <c r="AG125" i="24"/>
  <c r="AG13" i="24" s="1"/>
  <c r="H125" i="24"/>
  <c r="H13" i="24" s="1"/>
  <c r="Y126" i="24"/>
  <c r="Y19" i="24" s="1"/>
  <c r="AD125" i="24"/>
  <c r="AD13" i="24" s="1"/>
  <c r="AG124" i="24"/>
  <c r="AG8" i="24" s="1"/>
  <c r="Q126" i="24"/>
  <c r="Q19" i="24" s="1"/>
  <c r="X124" i="24"/>
  <c r="X8" i="24" s="1"/>
  <c r="W124" i="24"/>
  <c r="W8" i="24" s="1"/>
  <c r="I60" i="24"/>
  <c r="C60" i="24"/>
  <c r="D54" i="24" s="1"/>
  <c r="D55" i="24" s="1"/>
  <c r="H45" i="24"/>
  <c r="H17" i="24" s="1"/>
  <c r="H11" i="24"/>
  <c r="H43" i="24"/>
  <c r="H6" i="24" s="1"/>
  <c r="I43" i="24"/>
  <c r="I6" i="24" s="1"/>
  <c r="I45" i="24"/>
  <c r="I17" i="24" s="1"/>
  <c r="I44" i="24"/>
  <c r="I11" i="24" s="1"/>
  <c r="J34" i="24"/>
  <c r="I95" i="24"/>
  <c r="H100" i="24"/>
  <c r="H7" i="24" s="1"/>
  <c r="E53" i="24"/>
  <c r="H101" i="24"/>
  <c r="H12" i="24" s="1"/>
  <c r="AL126" i="24"/>
  <c r="AL19" i="24" s="1"/>
  <c r="AD126" i="24"/>
  <c r="AD19" i="24" s="1"/>
  <c r="V126" i="24"/>
  <c r="V19" i="24" s="1"/>
  <c r="N126" i="24"/>
  <c r="N19" i="24" s="1"/>
  <c r="AK125" i="24"/>
  <c r="AK13" i="24" s="1"/>
  <c r="AC125" i="24"/>
  <c r="AC13" i="24" s="1"/>
  <c r="U125" i="24"/>
  <c r="U13" i="24" s="1"/>
  <c r="M125" i="24"/>
  <c r="M13" i="24" s="1"/>
  <c r="AJ124" i="24"/>
  <c r="AJ8" i="24" s="1"/>
  <c r="AB124" i="24"/>
  <c r="AB8" i="24" s="1"/>
  <c r="T124" i="24"/>
  <c r="T8" i="24" s="1"/>
  <c r="L124" i="24"/>
  <c r="L8" i="24" s="1"/>
  <c r="AK126" i="24"/>
  <c r="AK19" i="24" s="1"/>
  <c r="AC126" i="24"/>
  <c r="AC19" i="24" s="1"/>
  <c r="U126" i="24"/>
  <c r="U19" i="24" s="1"/>
  <c r="M126" i="24"/>
  <c r="M19" i="24" s="1"/>
  <c r="AJ125" i="24"/>
  <c r="AJ13" i="24" s="1"/>
  <c r="AB125" i="24"/>
  <c r="AB13" i="24" s="1"/>
  <c r="T125" i="24"/>
  <c r="T13" i="24" s="1"/>
  <c r="L125" i="24"/>
  <c r="L13" i="24" s="1"/>
  <c r="AI124" i="24"/>
  <c r="AI8" i="24" s="1"/>
  <c r="AA124" i="24"/>
  <c r="AA8" i="24" s="1"/>
  <c r="S124" i="24"/>
  <c r="S8" i="24" s="1"/>
  <c r="K124" i="24"/>
  <c r="K8" i="24" s="1"/>
  <c r="AJ126" i="24"/>
  <c r="AJ19" i="24" s="1"/>
  <c r="AB126" i="24"/>
  <c r="AB19" i="24" s="1"/>
  <c r="T126" i="24"/>
  <c r="T19" i="24" s="1"/>
  <c r="L126" i="24"/>
  <c r="L19" i="24" s="1"/>
  <c r="AI125" i="24"/>
  <c r="AI13" i="24" s="1"/>
  <c r="AA125" i="24"/>
  <c r="AA13" i="24" s="1"/>
  <c r="S125" i="24"/>
  <c r="S13" i="24" s="1"/>
  <c r="K125" i="24"/>
  <c r="K13" i="24" s="1"/>
  <c r="AH124" i="24"/>
  <c r="AH8" i="24" s="1"/>
  <c r="Z124" i="24"/>
  <c r="Z8" i="24" s="1"/>
  <c r="R124" i="24"/>
  <c r="R8" i="24" s="1"/>
  <c r="J124" i="24"/>
  <c r="J8" i="24" s="1"/>
  <c r="AF126" i="24"/>
  <c r="AF19" i="24" s="1"/>
  <c r="AI126" i="24"/>
  <c r="AI19" i="24" s="1"/>
  <c r="W126" i="24"/>
  <c r="W19" i="24" s="1"/>
  <c r="I126" i="24"/>
  <c r="I19" i="24" s="1"/>
  <c r="Z125" i="24"/>
  <c r="Z13" i="24" s="1"/>
  <c r="O125" i="24"/>
  <c r="O13" i="24" s="1"/>
  <c r="AF124" i="24"/>
  <c r="AF8" i="24" s="1"/>
  <c r="U124" i="24"/>
  <c r="U8" i="24" s="1"/>
  <c r="AH126" i="24"/>
  <c r="AH19" i="24" s="1"/>
  <c r="S126" i="24"/>
  <c r="S19" i="24" s="1"/>
  <c r="H126" i="24"/>
  <c r="H19" i="24" s="1"/>
  <c r="Y125" i="24"/>
  <c r="Y13" i="24" s="1"/>
  <c r="N125" i="24"/>
  <c r="N13" i="24" s="1"/>
  <c r="AE124" i="24"/>
  <c r="AE8" i="24" s="1"/>
  <c r="Q124" i="24"/>
  <c r="Q8" i="24" s="1"/>
  <c r="AG126" i="24"/>
  <c r="AG19" i="24" s="1"/>
  <c r="R126" i="24"/>
  <c r="R19" i="24" s="1"/>
  <c r="AL125" i="24"/>
  <c r="AL13" i="24" s="1"/>
  <c r="X125" i="24"/>
  <c r="X13" i="24" s="1"/>
  <c r="J125" i="24"/>
  <c r="J13" i="24" s="1"/>
  <c r="AD124" i="24"/>
  <c r="AD8" i="24" s="1"/>
  <c r="P124" i="24"/>
  <c r="P8" i="24" s="1"/>
  <c r="X126" i="24"/>
  <c r="X19" i="24" s="1"/>
  <c r="H124" i="24"/>
  <c r="H8" i="24" s="1"/>
  <c r="Y124" i="24"/>
  <c r="Y8" i="24" s="1"/>
  <c r="Q125" i="24"/>
  <c r="Q13" i="24" s="1"/>
  <c r="AH125" i="24"/>
  <c r="AH13" i="24" s="1"/>
  <c r="AA126" i="24"/>
  <c r="AA19" i="24" s="1"/>
  <c r="J35" i="24"/>
  <c r="E55" i="24"/>
  <c r="I124" i="24"/>
  <c r="I8" i="24" s="1"/>
  <c r="AC124" i="24"/>
  <c r="AC8" i="24" s="1"/>
  <c r="R125" i="24"/>
  <c r="R13" i="24" s="1"/>
  <c r="J126" i="24"/>
  <c r="J19" i="24" s="1"/>
  <c r="AE126" i="24"/>
  <c r="AE19" i="24" s="1"/>
  <c r="H14" i="24" l="1"/>
  <c r="E37" i="4"/>
  <c r="E36" i="4"/>
  <c r="E79" i="4" s="1"/>
  <c r="E35" i="4"/>
  <c r="E34" i="4"/>
  <c r="E77" i="4" s="1"/>
  <c r="I100" i="24"/>
  <c r="I7" i="24" s="1"/>
  <c r="I5" i="24" s="1"/>
  <c r="I101" i="24"/>
  <c r="I12" i="24" s="1"/>
  <c r="I14" i="24" s="1"/>
  <c r="I102" i="24"/>
  <c r="I18" i="24" s="1"/>
  <c r="J95" i="24"/>
  <c r="K34" i="24"/>
  <c r="J38" i="24"/>
  <c r="I10" i="24"/>
  <c r="I16" i="24"/>
  <c r="H5" i="24"/>
  <c r="J39" i="24"/>
  <c r="K35" i="24"/>
  <c r="H10" i="24"/>
  <c r="H16" i="24"/>
  <c r="E46" i="4" l="1"/>
  <c r="E78" i="4"/>
  <c r="E59" i="4"/>
  <c r="E80" i="4"/>
  <c r="E48" i="4"/>
  <c r="J40" i="24"/>
  <c r="E45" i="4"/>
  <c r="E56" i="4"/>
  <c r="E57" i="4"/>
  <c r="E58" i="4"/>
  <c r="E47" i="4"/>
  <c r="F35" i="4"/>
  <c r="F78" i="4" s="1"/>
  <c r="F36" i="4"/>
  <c r="F79" i="4" s="1"/>
  <c r="F34" i="4"/>
  <c r="F77" i="4" s="1"/>
  <c r="F37" i="4"/>
  <c r="F80" i="4" s="1"/>
  <c r="J43" i="24"/>
  <c r="J6" i="24" s="1"/>
  <c r="J44" i="24"/>
  <c r="J11" i="24" s="1"/>
  <c r="J45" i="24"/>
  <c r="J17" i="24" s="1"/>
  <c r="K38" i="24"/>
  <c r="L34" i="24"/>
  <c r="J100" i="24"/>
  <c r="J7" i="24" s="1"/>
  <c r="J101" i="24"/>
  <c r="J12" i="24" s="1"/>
  <c r="J102" i="24"/>
  <c r="J18" i="24" s="1"/>
  <c r="K95" i="24"/>
  <c r="K39" i="24"/>
  <c r="L35" i="24"/>
  <c r="J14" i="24" l="1"/>
  <c r="F56" i="4"/>
  <c r="F45" i="4"/>
  <c r="F47" i="4"/>
  <c r="F58" i="4"/>
  <c r="F59" i="4"/>
  <c r="F48" i="4"/>
  <c r="K40" i="24"/>
  <c r="F46" i="4"/>
  <c r="F57" i="4"/>
  <c r="M34" i="24"/>
  <c r="L38" i="24"/>
  <c r="M35" i="24"/>
  <c r="L39" i="24"/>
  <c r="K43" i="24"/>
  <c r="K6" i="24" s="1"/>
  <c r="K44" i="24"/>
  <c r="K11" i="24" s="1"/>
  <c r="K45" i="24"/>
  <c r="K17" i="24" s="1"/>
  <c r="J16" i="24"/>
  <c r="J10" i="24"/>
  <c r="K101" i="24"/>
  <c r="K12" i="24" s="1"/>
  <c r="K102" i="24"/>
  <c r="K18" i="24" s="1"/>
  <c r="K100" i="24"/>
  <c r="K7" i="24" s="1"/>
  <c r="L95" i="24"/>
  <c r="J5" i="24"/>
  <c r="K14" i="24" l="1"/>
  <c r="K5" i="24"/>
  <c r="K16" i="24"/>
  <c r="K10" i="24"/>
  <c r="L40" i="24"/>
  <c r="L102" i="24"/>
  <c r="L18" i="24" s="1"/>
  <c r="L100" i="24"/>
  <c r="L7" i="24" s="1"/>
  <c r="M95" i="24"/>
  <c r="L101" i="24"/>
  <c r="L12" i="24" s="1"/>
  <c r="N35" i="24"/>
  <c r="M39" i="24"/>
  <c r="N34" i="24"/>
  <c r="M38" i="24"/>
  <c r="N38" i="24" l="1"/>
  <c r="O34" i="24"/>
  <c r="O35" i="24"/>
  <c r="N39" i="24"/>
  <c r="M102" i="24"/>
  <c r="M18" i="24" s="1"/>
  <c r="N95" i="24"/>
  <c r="M101" i="24"/>
  <c r="M12" i="24" s="1"/>
  <c r="M100" i="24"/>
  <c r="M7" i="24" s="1"/>
  <c r="M40" i="24"/>
  <c r="L44" i="24"/>
  <c r="L11" i="24" s="1"/>
  <c r="L45" i="24"/>
  <c r="L17" i="24" s="1"/>
  <c r="L16" i="24" s="1"/>
  <c r="L43" i="24"/>
  <c r="L6" i="24" s="1"/>
  <c r="L5" i="24" s="1"/>
  <c r="L10" i="24" l="1"/>
  <c r="L14" i="24"/>
  <c r="O39" i="24"/>
  <c r="P35" i="24"/>
  <c r="O95" i="24"/>
  <c r="N102" i="24"/>
  <c r="N18" i="24" s="1"/>
  <c r="N101" i="24"/>
  <c r="N12" i="24" s="1"/>
  <c r="N100" i="24"/>
  <c r="N7" i="24" s="1"/>
  <c r="O38" i="24"/>
  <c r="O40" i="24" s="1"/>
  <c r="P34" i="24"/>
  <c r="M45" i="24"/>
  <c r="M17" i="24" s="1"/>
  <c r="M16" i="24" s="1"/>
  <c r="M44" i="24"/>
  <c r="M11" i="24" s="1"/>
  <c r="M43" i="24"/>
  <c r="M6" i="24" s="1"/>
  <c r="M5" i="24" s="1"/>
  <c r="N40" i="24"/>
  <c r="M10" i="24" l="1"/>
  <c r="M14" i="24"/>
  <c r="P38" i="24"/>
  <c r="Q34" i="24"/>
  <c r="N44" i="24"/>
  <c r="N11" i="24" s="1"/>
  <c r="N43" i="24"/>
  <c r="N6" i="24" s="1"/>
  <c r="N5" i="24" s="1"/>
  <c r="N45" i="24"/>
  <c r="N17" i="24" s="1"/>
  <c r="N16" i="24" s="1"/>
  <c r="O44" i="24"/>
  <c r="O11" i="24" s="1"/>
  <c r="O43" i="24"/>
  <c r="O6" i="24" s="1"/>
  <c r="O45" i="24"/>
  <c r="O17" i="24" s="1"/>
  <c r="P95" i="24"/>
  <c r="O101" i="24"/>
  <c r="O12" i="24" s="1"/>
  <c r="O100" i="24"/>
  <c r="O7" i="24" s="1"/>
  <c r="O102" i="24"/>
  <c r="O18" i="24" s="1"/>
  <c r="P39" i="24"/>
  <c r="Q35" i="24"/>
  <c r="O16" i="24" l="1"/>
  <c r="O5" i="24"/>
  <c r="O14" i="24"/>
  <c r="N10" i="24"/>
  <c r="N14" i="24"/>
  <c r="O10" i="24"/>
  <c r="Q39" i="24"/>
  <c r="R35" i="24"/>
  <c r="Q38" i="24"/>
  <c r="Q40" i="24" s="1"/>
  <c r="R34" i="24"/>
  <c r="Q95" i="24"/>
  <c r="P100" i="24"/>
  <c r="P7" i="24" s="1"/>
  <c r="P101" i="24"/>
  <c r="P12" i="24" s="1"/>
  <c r="P102" i="24"/>
  <c r="P18" i="24" s="1"/>
  <c r="P40" i="24"/>
  <c r="S34" i="24" l="1"/>
  <c r="R38" i="24"/>
  <c r="S35" i="24"/>
  <c r="R39" i="24"/>
  <c r="Q100" i="24"/>
  <c r="Q7" i="24" s="1"/>
  <c r="Q101" i="24"/>
  <c r="Q12" i="24" s="1"/>
  <c r="R95" i="24"/>
  <c r="Q102" i="24"/>
  <c r="Q18" i="24" s="1"/>
  <c r="Q43" i="24"/>
  <c r="Q6" i="24" s="1"/>
  <c r="Q45" i="24"/>
  <c r="Q17" i="24" s="1"/>
  <c r="Q44" i="24"/>
  <c r="Q11" i="24" s="1"/>
  <c r="Q14" i="24" s="1"/>
  <c r="P43" i="24"/>
  <c r="P6" i="24" s="1"/>
  <c r="P5" i="24" s="1"/>
  <c r="P44" i="24"/>
  <c r="P11" i="24" s="1"/>
  <c r="P45" i="24"/>
  <c r="P17" i="24" s="1"/>
  <c r="P16" i="24" s="1"/>
  <c r="P10" i="24" l="1"/>
  <c r="P14" i="24"/>
  <c r="R100" i="24"/>
  <c r="R7" i="24" s="1"/>
  <c r="R101" i="24"/>
  <c r="R12" i="24" s="1"/>
  <c r="R102" i="24"/>
  <c r="R18" i="24" s="1"/>
  <c r="S95" i="24"/>
  <c r="R40" i="24"/>
  <c r="Q10" i="24"/>
  <c r="S39" i="24"/>
  <c r="T35" i="24"/>
  <c r="Q16" i="24"/>
  <c r="Q5" i="24"/>
  <c r="T34" i="24"/>
  <c r="S38" i="24"/>
  <c r="U35" i="24" l="1"/>
  <c r="T39" i="24"/>
  <c r="S40" i="24"/>
  <c r="R43" i="24"/>
  <c r="R6" i="24" s="1"/>
  <c r="R5" i="24" s="1"/>
  <c r="R44" i="24"/>
  <c r="R11" i="24" s="1"/>
  <c r="R45" i="24"/>
  <c r="R17" i="24" s="1"/>
  <c r="R16" i="24" s="1"/>
  <c r="S101" i="24"/>
  <c r="S12" i="24" s="1"/>
  <c r="S102" i="24"/>
  <c r="S18" i="24" s="1"/>
  <c r="S100" i="24"/>
  <c r="S7" i="24" s="1"/>
  <c r="T95" i="24"/>
  <c r="U34" i="24"/>
  <c r="T38" i="24"/>
  <c r="T40" i="24" s="1"/>
  <c r="R10" i="24" l="1"/>
  <c r="R14" i="24"/>
  <c r="T102" i="24"/>
  <c r="T18" i="24" s="1"/>
  <c r="T101" i="24"/>
  <c r="T12" i="24" s="1"/>
  <c r="T100" i="24"/>
  <c r="T7" i="24" s="1"/>
  <c r="U95" i="24"/>
  <c r="T44" i="24"/>
  <c r="T11" i="24" s="1"/>
  <c r="T45" i="24"/>
  <c r="T17" i="24" s="1"/>
  <c r="T16" i="24" s="1"/>
  <c r="T43" i="24"/>
  <c r="T6" i="24" s="1"/>
  <c r="T5" i="24" s="1"/>
  <c r="U38" i="24"/>
  <c r="V34" i="24"/>
  <c r="S43" i="24"/>
  <c r="S6" i="24" s="1"/>
  <c r="S5" i="24" s="1"/>
  <c r="S44" i="24"/>
  <c r="S11" i="24" s="1"/>
  <c r="S45" i="24"/>
  <c r="S17" i="24" s="1"/>
  <c r="S16" i="24" s="1"/>
  <c r="V35" i="24"/>
  <c r="U39" i="24"/>
  <c r="U40" i="24" l="1"/>
  <c r="T10" i="24"/>
  <c r="T14" i="24"/>
  <c r="S10" i="24"/>
  <c r="S14" i="24"/>
  <c r="U45" i="24"/>
  <c r="U17" i="24" s="1"/>
  <c r="U43" i="24"/>
  <c r="U6" i="24" s="1"/>
  <c r="U44" i="24"/>
  <c r="U11" i="24" s="1"/>
  <c r="W35" i="24"/>
  <c r="V39" i="24"/>
  <c r="U100" i="24"/>
  <c r="U7" i="24" s="1"/>
  <c r="U102" i="24"/>
  <c r="U18" i="24" s="1"/>
  <c r="V95" i="24"/>
  <c r="U101" i="24"/>
  <c r="U12" i="24" s="1"/>
  <c r="V38" i="24"/>
  <c r="W34" i="24"/>
  <c r="U10" i="24" l="1"/>
  <c r="U14" i="24"/>
  <c r="W39" i="24"/>
  <c r="X35" i="24"/>
  <c r="W38" i="24"/>
  <c r="W40" i="24" s="1"/>
  <c r="X34" i="24"/>
  <c r="V40" i="24"/>
  <c r="U5" i="24"/>
  <c r="W95" i="24"/>
  <c r="V100" i="24"/>
  <c r="V7" i="24" s="1"/>
  <c r="V102" i="24"/>
  <c r="V18" i="24" s="1"/>
  <c r="V101" i="24"/>
  <c r="V12" i="24" s="1"/>
  <c r="U16" i="24"/>
  <c r="X95" i="24" l="1"/>
  <c r="W100" i="24"/>
  <c r="W7" i="24" s="1"/>
  <c r="W102" i="24"/>
  <c r="W18" i="24" s="1"/>
  <c r="W101" i="24"/>
  <c r="W12" i="24" s="1"/>
  <c r="V45" i="24"/>
  <c r="V17" i="24" s="1"/>
  <c r="V16" i="24" s="1"/>
  <c r="V43" i="24"/>
  <c r="V6" i="24" s="1"/>
  <c r="V5" i="24" s="1"/>
  <c r="V44" i="24"/>
  <c r="V11" i="24" s="1"/>
  <c r="X38" i="24"/>
  <c r="Y34" i="24"/>
  <c r="W45" i="24"/>
  <c r="W17" i="24" s="1"/>
  <c r="W43" i="24"/>
  <c r="W6" i="24" s="1"/>
  <c r="W44" i="24"/>
  <c r="W11" i="24" s="1"/>
  <c r="X39" i="24"/>
  <c r="Y35" i="24"/>
  <c r="X40" i="24" l="1"/>
  <c r="V10" i="24"/>
  <c r="V14" i="24"/>
  <c r="W10" i="24"/>
  <c r="W14" i="24"/>
  <c r="W16" i="24"/>
  <c r="Y39" i="24"/>
  <c r="Z35" i="24"/>
  <c r="X44" i="24"/>
  <c r="X11" i="24" s="1"/>
  <c r="X43" i="24"/>
  <c r="X6" i="24" s="1"/>
  <c r="X45" i="24"/>
  <c r="X17" i="24" s="1"/>
  <c r="W5" i="24"/>
  <c r="Y38" i="24"/>
  <c r="Y40" i="24" s="1"/>
  <c r="Z34" i="24"/>
  <c r="Y95" i="24"/>
  <c r="X100" i="24"/>
  <c r="X7" i="24" s="1"/>
  <c r="X102" i="24"/>
  <c r="X18" i="24" s="1"/>
  <c r="X101" i="24"/>
  <c r="X12" i="24" s="1"/>
  <c r="X5" i="24" l="1"/>
  <c r="X14" i="24"/>
  <c r="X16" i="24"/>
  <c r="AA34" i="24"/>
  <c r="Z38" i="24"/>
  <c r="Y43" i="24"/>
  <c r="Y6" i="24" s="1"/>
  <c r="Y44" i="24"/>
  <c r="Y11" i="24" s="1"/>
  <c r="Y45" i="24"/>
  <c r="Y17" i="24" s="1"/>
  <c r="X10" i="24"/>
  <c r="Z39" i="24"/>
  <c r="AA35" i="24"/>
  <c r="Y100" i="24"/>
  <c r="Y7" i="24" s="1"/>
  <c r="Y101" i="24"/>
  <c r="Y12" i="24" s="1"/>
  <c r="Y102" i="24"/>
  <c r="Y18" i="24" s="1"/>
  <c r="Z95" i="24"/>
  <c r="Y10" i="24" l="1"/>
  <c r="Y14" i="24"/>
  <c r="Y16" i="24"/>
  <c r="Y5" i="24"/>
  <c r="Z100" i="24"/>
  <c r="Z7" i="24" s="1"/>
  <c r="Z101" i="24"/>
  <c r="Z12" i="24" s="1"/>
  <c r="Z102" i="24"/>
  <c r="Z18" i="24" s="1"/>
  <c r="AA95" i="24"/>
  <c r="Z40" i="24"/>
  <c r="AA38" i="24"/>
  <c r="AB34" i="24"/>
  <c r="AB35" i="24"/>
  <c r="AA39" i="24"/>
  <c r="AA40" i="24" l="1"/>
  <c r="AC35" i="24"/>
  <c r="AB39" i="24"/>
  <c r="AC34" i="24"/>
  <c r="AB38" i="24"/>
  <c r="AA43" i="24"/>
  <c r="AA6" i="24" s="1"/>
  <c r="AA44" i="24"/>
  <c r="AA11" i="24" s="1"/>
  <c r="AA45" i="24"/>
  <c r="AA17" i="24" s="1"/>
  <c r="Z43" i="24"/>
  <c r="Z6" i="24" s="1"/>
  <c r="Z5" i="24" s="1"/>
  <c r="Z44" i="24"/>
  <c r="Z11" i="24" s="1"/>
  <c r="Z45" i="24"/>
  <c r="Z17" i="24" s="1"/>
  <c r="Z16" i="24" s="1"/>
  <c r="AA101" i="24"/>
  <c r="AA12" i="24" s="1"/>
  <c r="AA102" i="24"/>
  <c r="AA18" i="24" s="1"/>
  <c r="AB95" i="24"/>
  <c r="AA100" i="24"/>
  <c r="AA7" i="24" s="1"/>
  <c r="AA10" i="24" l="1"/>
  <c r="AA14" i="24"/>
  <c r="Z10" i="24"/>
  <c r="Z14" i="24"/>
  <c r="AA16" i="24"/>
  <c r="AA5" i="24"/>
  <c r="AB102" i="24"/>
  <c r="AB18" i="24" s="1"/>
  <c r="AC95" i="24"/>
  <c r="AB101" i="24"/>
  <c r="AB12" i="24" s="1"/>
  <c r="AB100" i="24"/>
  <c r="AB7" i="24" s="1"/>
  <c r="AB40" i="24"/>
  <c r="AC38" i="24"/>
  <c r="AD34" i="24"/>
  <c r="AD35" i="24"/>
  <c r="AC39" i="24"/>
  <c r="AC40" i="24" l="1"/>
  <c r="AD38" i="24"/>
  <c r="AE34" i="24"/>
  <c r="AC45" i="24"/>
  <c r="AC17" i="24" s="1"/>
  <c r="AC44" i="24"/>
  <c r="AC11" i="24" s="1"/>
  <c r="AC43" i="24"/>
  <c r="AC6" i="24" s="1"/>
  <c r="AB44" i="24"/>
  <c r="AB11" i="24" s="1"/>
  <c r="AB45" i="24"/>
  <c r="AB17" i="24" s="1"/>
  <c r="AB16" i="24" s="1"/>
  <c r="AB43" i="24"/>
  <c r="AB6" i="24" s="1"/>
  <c r="AB5" i="24" s="1"/>
  <c r="AC101" i="24"/>
  <c r="AC12" i="24" s="1"/>
  <c r="AD95" i="24"/>
  <c r="AC102" i="24"/>
  <c r="AC18" i="24" s="1"/>
  <c r="AC100" i="24"/>
  <c r="AC7" i="24" s="1"/>
  <c r="AE35" i="24"/>
  <c r="AD39" i="24"/>
  <c r="AC14" i="24" l="1"/>
  <c r="AB10" i="24"/>
  <c r="AB14" i="24"/>
  <c r="AC5" i="24"/>
  <c r="AC10" i="24"/>
  <c r="AE39" i="24"/>
  <c r="AF35" i="24"/>
  <c r="AC16" i="24"/>
  <c r="AE95" i="24"/>
  <c r="AD101" i="24"/>
  <c r="AD12" i="24" s="1"/>
  <c r="AD102" i="24"/>
  <c r="AD18" i="24" s="1"/>
  <c r="AD100" i="24"/>
  <c r="AD7" i="24" s="1"/>
  <c r="AE38" i="24"/>
  <c r="AF34" i="24"/>
  <c r="AD40" i="24"/>
  <c r="AE40" i="24" l="1"/>
  <c r="AE43" i="24"/>
  <c r="AE6" i="24" s="1"/>
  <c r="AE44" i="24"/>
  <c r="AE11" i="24" s="1"/>
  <c r="AE45" i="24"/>
  <c r="AE17" i="24" s="1"/>
  <c r="AF95" i="24"/>
  <c r="AE101" i="24"/>
  <c r="AE12" i="24" s="1"/>
  <c r="AE102" i="24"/>
  <c r="AE18" i="24" s="1"/>
  <c r="AE100" i="24"/>
  <c r="AE7" i="24" s="1"/>
  <c r="AD43" i="24"/>
  <c r="AD6" i="24" s="1"/>
  <c r="AD5" i="24" s="1"/>
  <c r="AD44" i="24"/>
  <c r="AD11" i="24" s="1"/>
  <c r="AD45" i="24"/>
  <c r="AD17" i="24" s="1"/>
  <c r="AD16" i="24" s="1"/>
  <c r="AF39" i="24"/>
  <c r="AG35" i="24"/>
  <c r="AF38" i="24"/>
  <c r="AG34" i="24"/>
  <c r="AE14" i="24" l="1"/>
  <c r="AD10" i="24"/>
  <c r="AD14" i="24"/>
  <c r="AF40" i="24"/>
  <c r="AG39" i="24"/>
  <c r="AH35" i="24"/>
  <c r="AE16" i="24"/>
  <c r="AE10" i="24"/>
  <c r="AE5" i="24"/>
  <c r="AF43" i="24"/>
  <c r="AF6" i="24" s="1"/>
  <c r="AF45" i="24"/>
  <c r="AF17" i="24" s="1"/>
  <c r="AF44" i="24"/>
  <c r="AF11" i="24" s="1"/>
  <c r="AH34" i="24"/>
  <c r="AG38" i="24"/>
  <c r="AG40" i="24" s="1"/>
  <c r="AG95" i="24"/>
  <c r="AF100" i="24"/>
  <c r="AF7" i="24" s="1"/>
  <c r="AF101" i="24"/>
  <c r="AF12" i="24" s="1"/>
  <c r="AF102" i="24"/>
  <c r="AF18" i="24" s="1"/>
  <c r="AF14" i="24" l="1"/>
  <c r="AF16" i="24"/>
  <c r="AF5" i="24"/>
  <c r="AF10" i="24"/>
  <c r="AG100" i="24"/>
  <c r="AG7" i="24" s="1"/>
  <c r="AG101" i="24"/>
  <c r="AG12" i="24" s="1"/>
  <c r="AH95" i="24"/>
  <c r="AG102" i="24"/>
  <c r="AG18" i="24" s="1"/>
  <c r="AG43" i="24"/>
  <c r="AG6" i="24" s="1"/>
  <c r="AG5" i="24" s="1"/>
  <c r="AG45" i="24"/>
  <c r="AG17" i="24" s="1"/>
  <c r="AG16" i="24" s="1"/>
  <c r="AG44" i="24"/>
  <c r="AG11" i="24" s="1"/>
  <c r="AI35" i="24"/>
  <c r="AH39" i="24"/>
  <c r="AI34" i="24"/>
  <c r="AH38" i="24"/>
  <c r="AG10" i="24" l="1"/>
  <c r="AG14" i="24"/>
  <c r="AJ34" i="24"/>
  <c r="AI38" i="24"/>
  <c r="AI39" i="24"/>
  <c r="AJ35" i="24"/>
  <c r="AH40" i="24"/>
  <c r="AH100" i="24"/>
  <c r="AH7" i="24" s="1"/>
  <c r="AH101" i="24"/>
  <c r="AH12" i="24" s="1"/>
  <c r="AH102" i="24"/>
  <c r="AH18" i="24" s="1"/>
  <c r="AI95" i="24"/>
  <c r="AH43" i="24" l="1"/>
  <c r="AH6" i="24" s="1"/>
  <c r="AH5" i="24" s="1"/>
  <c r="AH44" i="24"/>
  <c r="AH11" i="24" s="1"/>
  <c r="AH45" i="24"/>
  <c r="AH17" i="24" s="1"/>
  <c r="AH16" i="24" s="1"/>
  <c r="AK35" i="24"/>
  <c r="AJ39" i="24"/>
  <c r="AI40" i="24"/>
  <c r="AI101" i="24"/>
  <c r="AI12" i="24" s="1"/>
  <c r="AI102" i="24"/>
  <c r="AI18" i="24" s="1"/>
  <c r="AI100" i="24"/>
  <c r="AI7" i="24" s="1"/>
  <c r="AJ95" i="24"/>
  <c r="AK34" i="24"/>
  <c r="AJ38" i="24"/>
  <c r="AH10" i="24" l="1"/>
  <c r="AH14" i="24"/>
  <c r="AI43" i="24"/>
  <c r="AI6" i="24" s="1"/>
  <c r="AI5" i="24" s="1"/>
  <c r="AI44" i="24"/>
  <c r="AI11" i="24" s="1"/>
  <c r="AI45" i="24"/>
  <c r="AI17" i="24" s="1"/>
  <c r="AI16" i="24" s="1"/>
  <c r="AJ40" i="24"/>
  <c r="AL35" i="24"/>
  <c r="AL39" i="24" s="1"/>
  <c r="AK39" i="24"/>
  <c r="AK38" i="24"/>
  <c r="AK40" i="24" s="1"/>
  <c r="AL34" i="24"/>
  <c r="AL38" i="24" s="1"/>
  <c r="AL40" i="24" s="1"/>
  <c r="AJ102" i="24"/>
  <c r="AJ18" i="24" s="1"/>
  <c r="AJ100" i="24"/>
  <c r="AJ7" i="24" s="1"/>
  <c r="AJ101" i="24"/>
  <c r="AJ12" i="24" s="1"/>
  <c r="AK95" i="24"/>
  <c r="AI10" i="24" l="1"/>
  <c r="AI14" i="24"/>
  <c r="AL44" i="24"/>
  <c r="AL11" i="24" s="1"/>
  <c r="AL43" i="24"/>
  <c r="AL6" i="24" s="1"/>
  <c r="AL45" i="24"/>
  <c r="AL17" i="24" s="1"/>
  <c r="AK45" i="24"/>
  <c r="AK17" i="24" s="1"/>
  <c r="AK44" i="24"/>
  <c r="AK11" i="24" s="1"/>
  <c r="AK43" i="24"/>
  <c r="AK6" i="24" s="1"/>
  <c r="AK100" i="24"/>
  <c r="AK7" i="24" s="1"/>
  <c r="AK102" i="24"/>
  <c r="AK18" i="24" s="1"/>
  <c r="AL95" i="24"/>
  <c r="AK101" i="24"/>
  <c r="AK12" i="24" s="1"/>
  <c r="AJ44" i="24"/>
  <c r="AJ11" i="24" s="1"/>
  <c r="AJ45" i="24"/>
  <c r="AJ17" i="24" s="1"/>
  <c r="AJ16" i="24" s="1"/>
  <c r="AJ43" i="24"/>
  <c r="AJ6" i="24" s="1"/>
  <c r="AJ5" i="24" s="1"/>
  <c r="AJ10" i="24" l="1"/>
  <c r="AJ14" i="24"/>
  <c r="AK10" i="24"/>
  <c r="AK14" i="24"/>
  <c r="AK16" i="24"/>
  <c r="AK5" i="24"/>
  <c r="AL102" i="24"/>
  <c r="AL18" i="24" s="1"/>
  <c r="AL16" i="24" s="1"/>
  <c r="AL100" i="24"/>
  <c r="AL7" i="24" s="1"/>
  <c r="AL5" i="24" s="1"/>
  <c r="AL101" i="24"/>
  <c r="AL12" i="24" s="1"/>
  <c r="AL14" i="24" s="1"/>
  <c r="AL10" i="24"/>
  <c r="C14" i="24" l="1"/>
  <c r="C15" i="44"/>
  <c r="C14" i="44" s="1"/>
  <c r="AN2" i="4"/>
  <c r="AN74" i="4" s="1"/>
  <c r="AN23" i="4"/>
  <c r="AN25" i="4"/>
  <c r="AN10" i="4" s="1"/>
  <c r="AM2" i="4"/>
  <c r="AM74" i="4" s="1"/>
  <c r="AM23" i="4"/>
  <c r="AM25" i="4"/>
  <c r="AM10" i="4" s="1"/>
  <c r="C37" i="44" l="1"/>
  <c r="C42" i="44" s="1"/>
  <c r="E5" i="44"/>
  <c r="G5" i="44" s="1"/>
  <c r="G7" i="44" s="1"/>
  <c r="AN14" i="4"/>
  <c r="AN6" i="2" s="1"/>
  <c r="AM14" i="4"/>
  <c r="AM6" i="2" s="1"/>
  <c r="AN35" i="4"/>
  <c r="AN78" i="4" s="1"/>
  <c r="AN38" i="4"/>
  <c r="AN81" i="4" s="1"/>
  <c r="AN34" i="4"/>
  <c r="AN77" i="4" s="1"/>
  <c r="AN32" i="4"/>
  <c r="AN75" i="4" s="1"/>
  <c r="AN36" i="4"/>
  <c r="AN79" i="4" s="1"/>
  <c r="AN39" i="4"/>
  <c r="AN82" i="4" s="1"/>
  <c r="AN33" i="4"/>
  <c r="AN76" i="4" s="1"/>
  <c r="AN37" i="4"/>
  <c r="AN80" i="4" s="1"/>
  <c r="AI18" i="7"/>
  <c r="AJ18" i="7"/>
  <c r="AK18" i="7"/>
  <c r="AL18" i="7"/>
  <c r="AM18" i="7"/>
  <c r="C47" i="44" l="1"/>
  <c r="C40" i="44"/>
  <c r="C45" i="44" s="1"/>
  <c r="AN55" i="4"/>
  <c r="AN44" i="4"/>
  <c r="AN48" i="4"/>
  <c r="AN59" i="4"/>
  <c r="AN50" i="4"/>
  <c r="AN61" i="4"/>
  <c r="AN58" i="4"/>
  <c r="AN47" i="4"/>
  <c r="AN43" i="4"/>
  <c r="AN54" i="4"/>
  <c r="AN56" i="4"/>
  <c r="AN45" i="4"/>
  <c r="AN60" i="4"/>
  <c r="AN49" i="4"/>
  <c r="AN46" i="4"/>
  <c r="AN57" i="4"/>
  <c r="E13" i="13"/>
  <c r="H5" i="44" l="1"/>
  <c r="H7" i="44" s="1"/>
  <c r="C52" i="44"/>
  <c r="AN51" i="4"/>
  <c r="AN62" i="4"/>
  <c r="F13" i="13"/>
  <c r="I5" i="44" l="1"/>
  <c r="I7" i="44" s="1"/>
  <c r="C50" i="44"/>
  <c r="E52" i="44"/>
  <c r="G13" i="13"/>
  <c r="Y7" i="1" s="1"/>
  <c r="E51" i="44" l="1"/>
  <c r="E53" i="44"/>
  <c r="E18" i="6"/>
  <c r="J7" i="44"/>
  <c r="C122" i="6" s="1"/>
  <c r="C119" i="6" s="1"/>
  <c r="C153" i="6" s="1"/>
  <c r="D122" i="6"/>
  <c r="D119" i="6" s="1"/>
  <c r="D153" i="6" s="1"/>
  <c r="F18" i="6"/>
  <c r="E24" i="3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E40" i="2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F42" i="6" l="1"/>
  <c r="F66" i="6"/>
  <c r="E42" i="6"/>
  <c r="E66" i="6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E7" i="5"/>
  <c r="A17" i="5"/>
  <c r="C24" i="1"/>
  <c r="C23" i="1"/>
  <c r="T25" i="3"/>
  <c r="U25" i="3"/>
  <c r="V39" i="2"/>
  <c r="T10" i="46" s="1"/>
  <c r="T23" i="46" s="1"/>
  <c r="W25" i="3"/>
  <c r="X39" i="2"/>
  <c r="V10" i="46" s="1"/>
  <c r="V23" i="46" s="1"/>
  <c r="F37" i="46" s="1"/>
  <c r="Y39" i="2"/>
  <c r="W10" i="46" s="1"/>
  <c r="W23" i="46" s="1"/>
  <c r="Z39" i="2"/>
  <c r="X10" i="46" s="1"/>
  <c r="X23" i="46" s="1"/>
  <c r="AA25" i="3"/>
  <c r="AB25" i="3"/>
  <c r="AC39" i="2"/>
  <c r="AA10" i="46" s="1"/>
  <c r="AA23" i="46" s="1"/>
  <c r="G37" i="46" s="1"/>
  <c r="AD39" i="2"/>
  <c r="AB10" i="46" s="1"/>
  <c r="AB23" i="46" s="1"/>
  <c r="AE25" i="3"/>
  <c r="AF25" i="3"/>
  <c r="AG25" i="3"/>
  <c r="AH25" i="3"/>
  <c r="W39" i="2"/>
  <c r="U10" i="46" s="1"/>
  <c r="U23" i="46" s="1"/>
  <c r="D39" i="2"/>
  <c r="AB39" i="2"/>
  <c r="Z10" i="46" s="1"/>
  <c r="Z23" i="46" s="1"/>
  <c r="AA39" i="2"/>
  <c r="Y10" i="46" s="1"/>
  <c r="Y23" i="46" s="1"/>
  <c r="U39" i="2"/>
  <c r="S10" i="46" s="1"/>
  <c r="S23" i="46" s="1"/>
  <c r="T39" i="2"/>
  <c r="R10" i="46" s="1"/>
  <c r="R23" i="46" s="1"/>
  <c r="F8" i="6" l="1"/>
  <c r="X25" i="3"/>
  <c r="AD25" i="3"/>
  <c r="V25" i="3"/>
  <c r="AC25" i="3"/>
  <c r="Z25" i="3"/>
  <c r="Y25" i="3"/>
  <c r="G8" i="6" l="1"/>
  <c r="F4" i="13"/>
  <c r="F5" i="13" s="1"/>
  <c r="G4" i="13"/>
  <c r="G5" i="13" s="1"/>
  <c r="E4" i="13"/>
  <c r="E5" i="13" s="1"/>
  <c r="H8" i="6" l="1"/>
  <c r="Y10" i="1"/>
  <c r="I8" i="6" l="1"/>
  <c r="Z2" i="4"/>
  <c r="Z74" i="4" s="1"/>
  <c r="AA2" i="4"/>
  <c r="AA74" i="4" s="1"/>
  <c r="AB2" i="4"/>
  <c r="AB74" i="4" s="1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B14" i="4" l="1"/>
  <c r="AB6" i="2" s="1"/>
  <c r="Z14" i="4"/>
  <c r="Z6" i="2" s="1"/>
  <c r="AA14" i="4"/>
  <c r="AA6" i="2" s="1"/>
  <c r="AN13" i="6"/>
  <c r="AN11" i="6"/>
  <c r="AN20" i="6"/>
  <c r="AN26" i="6"/>
  <c r="AN16" i="6"/>
  <c r="AN10" i="6"/>
  <c r="AN19" i="6"/>
  <c r="AN21" i="6"/>
  <c r="AN23" i="6"/>
  <c r="AN25" i="6"/>
  <c r="AN15" i="6"/>
  <c r="AN17" i="6"/>
  <c r="AN22" i="6"/>
  <c r="AN12" i="6"/>
  <c r="AN9" i="6"/>
  <c r="AN24" i="6"/>
  <c r="J8" i="6"/>
  <c r="AN33" i="6" l="1"/>
  <c r="AN57" i="6"/>
  <c r="AN45" i="6"/>
  <c r="AN69" i="6"/>
  <c r="AN36" i="6"/>
  <c r="AN60" i="6"/>
  <c r="AN39" i="6"/>
  <c r="AN63" i="6"/>
  <c r="AN49" i="6"/>
  <c r="AN73" i="6"/>
  <c r="AN43" i="6"/>
  <c r="AN67" i="6"/>
  <c r="AN40" i="6"/>
  <c r="AN64" i="6"/>
  <c r="AN50" i="6"/>
  <c r="AN74" i="6"/>
  <c r="AN35" i="6"/>
  <c r="AN59" i="6"/>
  <c r="AN48" i="6"/>
  <c r="AN72" i="6"/>
  <c r="AN46" i="6"/>
  <c r="AN70" i="6"/>
  <c r="AN41" i="6"/>
  <c r="AN65" i="6"/>
  <c r="AN47" i="6"/>
  <c r="AN71" i="6"/>
  <c r="AN34" i="6"/>
  <c r="AN58" i="6"/>
  <c r="AN44" i="6"/>
  <c r="AN68" i="6"/>
  <c r="AN37" i="6"/>
  <c r="AN61" i="6"/>
  <c r="K8" i="6"/>
  <c r="AN52" i="6" l="1"/>
  <c r="L8" i="6"/>
  <c r="M8" i="6" l="1"/>
  <c r="N8" i="6" l="1"/>
  <c r="O8" i="6" l="1"/>
  <c r="P8" i="6" l="1"/>
  <c r="Q8" i="6" l="1"/>
  <c r="R8" i="6" l="1"/>
  <c r="S8" i="6" l="1"/>
  <c r="T8" i="6" l="1"/>
  <c r="U8" i="6" l="1"/>
  <c r="V8" i="6" l="1"/>
  <c r="W8" i="6" l="1"/>
  <c r="X8" i="6" l="1"/>
  <c r="Y8" i="6" l="1"/>
  <c r="Z8" i="6" l="1"/>
  <c r="AA8" i="6" l="1"/>
  <c r="AB8" i="6" l="1"/>
  <c r="AC8" i="6" l="1"/>
  <c r="AD8" i="6" l="1"/>
  <c r="AE8" i="6" l="1"/>
  <c r="AF8" i="6" l="1"/>
  <c r="AG8" i="6" l="1"/>
  <c r="AH8" i="6" l="1"/>
  <c r="C8" i="6" s="1"/>
  <c r="R4" i="1" s="1"/>
  <c r="AL8" i="6" l="1"/>
  <c r="AM8" i="6" s="1"/>
  <c r="E18" i="9" l="1"/>
  <c r="F18" i="9" s="1"/>
  <c r="G18" i="9" s="1"/>
  <c r="H18" i="9" s="1"/>
  <c r="I18" i="9" s="1"/>
  <c r="J18" i="9" s="1"/>
  <c r="K18" i="9" s="1"/>
  <c r="L18" i="9" s="1"/>
  <c r="M18" i="9" s="1"/>
  <c r="N18" i="9" s="1"/>
  <c r="O18" i="9" s="1"/>
  <c r="P18" i="9" s="1"/>
  <c r="Q18" i="9" s="1"/>
  <c r="R18" i="9" s="1"/>
  <c r="S18" i="9" s="1"/>
  <c r="T18" i="9" s="1"/>
  <c r="U18" i="9" s="1"/>
  <c r="V18" i="9" s="1"/>
  <c r="W18" i="9" s="1"/>
  <c r="X18" i="9" s="1"/>
  <c r="Y18" i="9" s="1"/>
  <c r="Z18" i="9" s="1"/>
  <c r="AA18" i="9" s="1"/>
  <c r="AB18" i="9" s="1"/>
  <c r="AC18" i="9" s="1"/>
  <c r="AD18" i="9" s="1"/>
  <c r="AE18" i="9" s="1"/>
  <c r="AF18" i="9" s="1"/>
  <c r="AG18" i="9" s="1"/>
  <c r="AH18" i="9" s="1"/>
  <c r="AI18" i="9" s="1"/>
  <c r="AJ18" i="9" s="1"/>
  <c r="AK18" i="9" s="1"/>
  <c r="AL18" i="9" s="1"/>
  <c r="AM18" i="9" s="1"/>
  <c r="AN18" i="9" s="1"/>
  <c r="E17" i="9"/>
  <c r="F17" i="9" s="1"/>
  <c r="G17" i="9" s="1"/>
  <c r="H17" i="9" s="1"/>
  <c r="I17" i="9" s="1"/>
  <c r="J17" i="9" s="1"/>
  <c r="K17" i="9" s="1"/>
  <c r="L17" i="9" s="1"/>
  <c r="M17" i="9" s="1"/>
  <c r="N17" i="9" s="1"/>
  <c r="O17" i="9" s="1"/>
  <c r="P17" i="9" s="1"/>
  <c r="Q17" i="9" s="1"/>
  <c r="R17" i="9" s="1"/>
  <c r="S17" i="9" s="1"/>
  <c r="T17" i="9" s="1"/>
  <c r="U17" i="9" s="1"/>
  <c r="V17" i="9" s="1"/>
  <c r="W17" i="9" s="1"/>
  <c r="X17" i="9" s="1"/>
  <c r="Y17" i="9" s="1"/>
  <c r="Z17" i="9" s="1"/>
  <c r="AA17" i="9" s="1"/>
  <c r="AB17" i="9" s="1"/>
  <c r="AC17" i="9" s="1"/>
  <c r="AD17" i="9" s="1"/>
  <c r="AE17" i="9" s="1"/>
  <c r="AF17" i="9" s="1"/>
  <c r="AG17" i="9" s="1"/>
  <c r="AH17" i="9" s="1"/>
  <c r="AI17" i="9" s="1"/>
  <c r="AJ17" i="9" s="1"/>
  <c r="AK17" i="9" s="1"/>
  <c r="AL17" i="9" s="1"/>
  <c r="AM17" i="9" s="1"/>
  <c r="AN17" i="9" s="1"/>
  <c r="E16" i="9"/>
  <c r="F16" i="9" s="1"/>
  <c r="G16" i="9" s="1"/>
  <c r="H16" i="9" s="1"/>
  <c r="I16" i="9" s="1"/>
  <c r="J16" i="9" s="1"/>
  <c r="K16" i="9" s="1"/>
  <c r="L16" i="9" s="1"/>
  <c r="M16" i="9" s="1"/>
  <c r="N16" i="9" s="1"/>
  <c r="O16" i="9" s="1"/>
  <c r="P16" i="9" s="1"/>
  <c r="Q16" i="9" s="1"/>
  <c r="R16" i="9" s="1"/>
  <c r="S16" i="9" s="1"/>
  <c r="T16" i="9" s="1"/>
  <c r="U16" i="9" s="1"/>
  <c r="V16" i="9" s="1"/>
  <c r="W16" i="9" s="1"/>
  <c r="X16" i="9" s="1"/>
  <c r="Y16" i="9" s="1"/>
  <c r="Z16" i="9" s="1"/>
  <c r="AA16" i="9" s="1"/>
  <c r="AB16" i="9" s="1"/>
  <c r="AC16" i="9" s="1"/>
  <c r="AD16" i="9" s="1"/>
  <c r="AE16" i="9" s="1"/>
  <c r="AF16" i="9" s="1"/>
  <c r="AG16" i="9" s="1"/>
  <c r="AH16" i="9" s="1"/>
  <c r="AI16" i="9" s="1"/>
  <c r="AJ16" i="9" s="1"/>
  <c r="AK16" i="9" s="1"/>
  <c r="AL16" i="9" s="1"/>
  <c r="AM16" i="9" s="1"/>
  <c r="AN16" i="9" s="1"/>
  <c r="E15" i="9"/>
  <c r="F15" i="9" s="1"/>
  <c r="G15" i="9" s="1"/>
  <c r="H15" i="9" s="1"/>
  <c r="I15" i="9" s="1"/>
  <c r="J15" i="9" s="1"/>
  <c r="K15" i="9" s="1"/>
  <c r="L15" i="9" s="1"/>
  <c r="M15" i="9" s="1"/>
  <c r="N15" i="9" s="1"/>
  <c r="O15" i="9" s="1"/>
  <c r="P15" i="9" s="1"/>
  <c r="Q15" i="9" s="1"/>
  <c r="R15" i="9" s="1"/>
  <c r="S15" i="9" s="1"/>
  <c r="T15" i="9" s="1"/>
  <c r="U15" i="9" s="1"/>
  <c r="V15" i="9" s="1"/>
  <c r="W15" i="9" s="1"/>
  <c r="X15" i="9" s="1"/>
  <c r="Y15" i="9" s="1"/>
  <c r="Z15" i="9" s="1"/>
  <c r="AA15" i="9" s="1"/>
  <c r="AB15" i="9" s="1"/>
  <c r="AC15" i="9" s="1"/>
  <c r="AD15" i="9" s="1"/>
  <c r="AE15" i="9" s="1"/>
  <c r="AF15" i="9" s="1"/>
  <c r="AG15" i="9" s="1"/>
  <c r="AH15" i="9" s="1"/>
  <c r="AI15" i="9" s="1"/>
  <c r="AJ15" i="9" s="1"/>
  <c r="AK15" i="9" s="1"/>
  <c r="AL15" i="9" s="1"/>
  <c r="AM15" i="9" s="1"/>
  <c r="AN15" i="9" s="1"/>
  <c r="E14" i="9"/>
  <c r="F14" i="9" s="1"/>
  <c r="G14" i="9" s="1"/>
  <c r="H6" i="9"/>
  <c r="H4" i="13" s="1"/>
  <c r="H5" i="13" s="1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C12" i="8"/>
  <c r="E9" i="8"/>
  <c r="F9" i="8" s="1"/>
  <c r="D9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AN18" i="7"/>
  <c r="AN15" i="3" s="1"/>
  <c r="AL17" i="8"/>
  <c r="AK17" i="8"/>
  <c r="AJ17" i="8"/>
  <c r="AI17" i="8"/>
  <c r="AH17" i="8"/>
  <c r="AN2" i="7"/>
  <c r="AM2" i="7"/>
  <c r="AM28" i="7" s="1"/>
  <c r="AL2" i="7"/>
  <c r="AL28" i="7" s="1"/>
  <c r="AL29" i="7" s="1"/>
  <c r="AL15" i="3" s="1"/>
  <c r="AK2" i="7"/>
  <c r="AK28" i="7" s="1"/>
  <c r="AK29" i="7" s="1"/>
  <c r="AK15" i="3" s="1"/>
  <c r="AJ2" i="7"/>
  <c r="AJ28" i="7" s="1"/>
  <c r="AJ29" i="7" s="1"/>
  <c r="AJ15" i="3" s="1"/>
  <c r="AI2" i="7"/>
  <c r="AI28" i="7" s="1"/>
  <c r="AI29" i="7" s="1"/>
  <c r="AI15" i="3" s="1"/>
  <c r="AH2" i="7"/>
  <c r="AG2" i="7"/>
  <c r="AG28" i="7" s="1"/>
  <c r="AG29" i="7" s="1"/>
  <c r="AG15" i="3" s="1"/>
  <c r="AE11" i="47" s="1"/>
  <c r="AE27" i="47" s="1"/>
  <c r="AF2" i="7"/>
  <c r="AF28" i="7" s="1"/>
  <c r="AF29" i="7" s="1"/>
  <c r="AF15" i="3" s="1"/>
  <c r="AD11" i="47" s="1"/>
  <c r="AD27" i="47" s="1"/>
  <c r="AE2" i="7"/>
  <c r="AE28" i="7" s="1"/>
  <c r="AE29" i="7" s="1"/>
  <c r="AE15" i="3" s="1"/>
  <c r="AC11" i="47" s="1"/>
  <c r="AC27" i="47" s="1"/>
  <c r="AD2" i="7"/>
  <c r="AD28" i="7" s="1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E35" i="5"/>
  <c r="B26" i="5"/>
  <c r="B25" i="5"/>
  <c r="B24" i="5"/>
  <c r="AN2" i="5"/>
  <c r="AM2" i="5"/>
  <c r="AL2" i="5"/>
  <c r="AK2" i="5"/>
  <c r="AJ2" i="5"/>
  <c r="AI2" i="5"/>
  <c r="AH2" i="5"/>
  <c r="AG2" i="5"/>
  <c r="AF2" i="5"/>
  <c r="AE2" i="5"/>
  <c r="AD2" i="5"/>
  <c r="AC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AN18" i="2"/>
  <c r="AN7" i="3" s="1"/>
  <c r="AM18" i="2"/>
  <c r="AM7" i="3" s="1"/>
  <c r="AL25" i="4"/>
  <c r="AL10" i="4" s="1"/>
  <c r="AL18" i="2" s="1"/>
  <c r="AL7" i="3" s="1"/>
  <c r="AK25" i="4"/>
  <c r="AK10" i="4" s="1"/>
  <c r="AK18" i="2" s="1"/>
  <c r="AK7" i="3" s="1"/>
  <c r="AJ25" i="4"/>
  <c r="AJ10" i="4" s="1"/>
  <c r="AJ18" i="2" s="1"/>
  <c r="AJ7" i="3" s="1"/>
  <c r="AI25" i="4"/>
  <c r="AI10" i="4" s="1"/>
  <c r="AI18" i="2" s="1"/>
  <c r="AI7" i="3" s="1"/>
  <c r="AH25" i="4"/>
  <c r="AH10" i="4" s="1"/>
  <c r="AH18" i="2" s="1"/>
  <c r="AH7" i="3" s="1"/>
  <c r="AF5" i="47" s="1"/>
  <c r="AF21" i="47" s="1"/>
  <c r="H37" i="47" s="1"/>
  <c r="AG25" i="4"/>
  <c r="AG10" i="4" s="1"/>
  <c r="AG18" i="2" s="1"/>
  <c r="AG7" i="3" s="1"/>
  <c r="AE5" i="47" s="1"/>
  <c r="AE21" i="47" s="1"/>
  <c r="AF25" i="4"/>
  <c r="AF10" i="4" s="1"/>
  <c r="AF18" i="2" s="1"/>
  <c r="AF7" i="3" s="1"/>
  <c r="AD5" i="47" s="1"/>
  <c r="AD21" i="47" s="1"/>
  <c r="AE25" i="4"/>
  <c r="AE10" i="4" s="1"/>
  <c r="AE18" i="2" s="1"/>
  <c r="AE7" i="3" s="1"/>
  <c r="AC5" i="47" s="1"/>
  <c r="AC21" i="47" s="1"/>
  <c r="AD25" i="4"/>
  <c r="AD10" i="4" s="1"/>
  <c r="AD18" i="2" s="1"/>
  <c r="AD7" i="3" s="1"/>
  <c r="AB5" i="47" s="1"/>
  <c r="AB21" i="47" s="1"/>
  <c r="AC25" i="4"/>
  <c r="AC10" i="4" s="1"/>
  <c r="AC18" i="2" s="1"/>
  <c r="AC7" i="3" s="1"/>
  <c r="AA5" i="47" s="1"/>
  <c r="AA21" i="47" s="1"/>
  <c r="G37" i="47" s="1"/>
  <c r="AB25" i="4"/>
  <c r="AB10" i="4" s="1"/>
  <c r="AB18" i="2" s="1"/>
  <c r="AB7" i="3" s="1"/>
  <c r="Z5" i="47" s="1"/>
  <c r="Z21" i="47" s="1"/>
  <c r="AA25" i="4"/>
  <c r="AA10" i="4" s="1"/>
  <c r="AA18" i="2" s="1"/>
  <c r="AA7" i="3" s="1"/>
  <c r="Y5" i="47" s="1"/>
  <c r="Y21" i="47" s="1"/>
  <c r="Z25" i="4"/>
  <c r="Z10" i="4" s="1"/>
  <c r="Z18" i="2" s="1"/>
  <c r="Z7" i="3" s="1"/>
  <c r="X5" i="47" s="1"/>
  <c r="X21" i="47" s="1"/>
  <c r="Y25" i="4"/>
  <c r="Y10" i="4" s="1"/>
  <c r="Y18" i="2" s="1"/>
  <c r="Y7" i="3" s="1"/>
  <c r="W5" i="47" s="1"/>
  <c r="W21" i="47" s="1"/>
  <c r="X25" i="4"/>
  <c r="X10" i="4" s="1"/>
  <c r="X18" i="2" s="1"/>
  <c r="X7" i="3" s="1"/>
  <c r="V5" i="47" s="1"/>
  <c r="V21" i="47" s="1"/>
  <c r="F37" i="47" s="1"/>
  <c r="W25" i="4"/>
  <c r="W10" i="4" s="1"/>
  <c r="W18" i="2" s="1"/>
  <c r="W7" i="3" s="1"/>
  <c r="U5" i="47" s="1"/>
  <c r="U21" i="47" s="1"/>
  <c r="V25" i="4"/>
  <c r="V10" i="4" s="1"/>
  <c r="V18" i="2" s="1"/>
  <c r="V7" i="3" s="1"/>
  <c r="T5" i="47" s="1"/>
  <c r="T21" i="47" s="1"/>
  <c r="U25" i="4"/>
  <c r="U10" i="4" s="1"/>
  <c r="U18" i="2" s="1"/>
  <c r="U7" i="3" s="1"/>
  <c r="S5" i="47" s="1"/>
  <c r="S21" i="47" s="1"/>
  <c r="T25" i="4"/>
  <c r="T10" i="4" s="1"/>
  <c r="T18" i="2" s="1"/>
  <c r="T7" i="3" s="1"/>
  <c r="R5" i="47" s="1"/>
  <c r="R21" i="47" s="1"/>
  <c r="S25" i="4"/>
  <c r="S10" i="4" s="1"/>
  <c r="S18" i="2" s="1"/>
  <c r="S7" i="3" s="1"/>
  <c r="Q5" i="47" s="1"/>
  <c r="Q21" i="47" s="1"/>
  <c r="E37" i="47" s="1"/>
  <c r="R25" i="4"/>
  <c r="R10" i="4" s="1"/>
  <c r="R18" i="2" s="1"/>
  <c r="R7" i="3" s="1"/>
  <c r="P5" i="47" s="1"/>
  <c r="P21" i="47" s="1"/>
  <c r="Q25" i="4"/>
  <c r="Q10" i="4" s="1"/>
  <c r="Q18" i="2" s="1"/>
  <c r="Q7" i="3" s="1"/>
  <c r="O5" i="47" s="1"/>
  <c r="O21" i="47" s="1"/>
  <c r="P25" i="4"/>
  <c r="P10" i="4" s="1"/>
  <c r="P18" i="2" s="1"/>
  <c r="P7" i="3" s="1"/>
  <c r="N5" i="47" s="1"/>
  <c r="N21" i="47" s="1"/>
  <c r="O25" i="4"/>
  <c r="O10" i="4" s="1"/>
  <c r="O18" i="2" s="1"/>
  <c r="O7" i="3" s="1"/>
  <c r="M5" i="47" s="1"/>
  <c r="M21" i="47" s="1"/>
  <c r="N25" i="4"/>
  <c r="N10" i="4" s="1"/>
  <c r="N18" i="2" s="1"/>
  <c r="N7" i="3" s="1"/>
  <c r="L5" i="47" s="1"/>
  <c r="L21" i="47" s="1"/>
  <c r="D37" i="47" s="1"/>
  <c r="M25" i="4"/>
  <c r="M10" i="4" s="1"/>
  <c r="M18" i="2" s="1"/>
  <c r="M7" i="3" s="1"/>
  <c r="K5" i="47" s="1"/>
  <c r="K21" i="47" s="1"/>
  <c r="L25" i="4"/>
  <c r="L10" i="4" s="1"/>
  <c r="L18" i="2" s="1"/>
  <c r="L7" i="3" s="1"/>
  <c r="J5" i="47" s="1"/>
  <c r="J21" i="47" s="1"/>
  <c r="K25" i="4"/>
  <c r="K10" i="4" s="1"/>
  <c r="K18" i="2" s="1"/>
  <c r="K7" i="3" s="1"/>
  <c r="I5" i="47" s="1"/>
  <c r="I21" i="47" s="1"/>
  <c r="J25" i="4"/>
  <c r="J10" i="4" s="1"/>
  <c r="J18" i="2" s="1"/>
  <c r="J7" i="3" s="1"/>
  <c r="H5" i="47" s="1"/>
  <c r="H21" i="47" s="1"/>
  <c r="I25" i="4"/>
  <c r="I10" i="4" s="1"/>
  <c r="I18" i="2" s="1"/>
  <c r="I7" i="3" s="1"/>
  <c r="G5" i="47" s="1"/>
  <c r="G21" i="47" s="1"/>
  <c r="C37" i="47" s="1"/>
  <c r="H25" i="4"/>
  <c r="H10" i="4" s="1"/>
  <c r="H18" i="2" s="1"/>
  <c r="H7" i="3" s="1"/>
  <c r="F5" i="47" s="1"/>
  <c r="F21" i="47" s="1"/>
  <c r="G25" i="4"/>
  <c r="G10" i="4" s="1"/>
  <c r="G18" i="2" s="1"/>
  <c r="G7" i="3" s="1"/>
  <c r="E5" i="47" s="1"/>
  <c r="E21" i="47" s="1"/>
  <c r="F25" i="4"/>
  <c r="F10" i="4" s="1"/>
  <c r="F18" i="2" s="1"/>
  <c r="F7" i="3" s="1"/>
  <c r="D5" i="47" s="1"/>
  <c r="D21" i="47" s="1"/>
  <c r="E25" i="4"/>
  <c r="E10" i="4" s="1"/>
  <c r="E18" i="2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L2" i="4"/>
  <c r="AL74" i="4" s="1"/>
  <c r="AK2" i="4"/>
  <c r="AK74" i="4" s="1"/>
  <c r="AJ2" i="4"/>
  <c r="AJ74" i="4" s="1"/>
  <c r="AI2" i="4"/>
  <c r="AI74" i="4" s="1"/>
  <c r="AH2" i="4"/>
  <c r="AH74" i="4" s="1"/>
  <c r="G86" i="4" s="1"/>
  <c r="AG2" i="4"/>
  <c r="AG74" i="4" s="1"/>
  <c r="AF2" i="4"/>
  <c r="AF74" i="4" s="1"/>
  <c r="AE2" i="4"/>
  <c r="AE74" i="4" s="1"/>
  <c r="AD2" i="4"/>
  <c r="AD74" i="4" s="1"/>
  <c r="AC2" i="4"/>
  <c r="AC74" i="4" s="1"/>
  <c r="F86" i="4" s="1"/>
  <c r="Y2" i="4"/>
  <c r="Y74" i="4" s="1"/>
  <c r="X2" i="4"/>
  <c r="X74" i="4" s="1"/>
  <c r="E86" i="4" s="1"/>
  <c r="W2" i="4"/>
  <c r="W74" i="4" s="1"/>
  <c r="V2" i="4"/>
  <c r="V74" i="4" s="1"/>
  <c r="U2" i="4"/>
  <c r="U74" i="4" s="1"/>
  <c r="T2" i="4"/>
  <c r="T74" i="4" s="1"/>
  <c r="S2" i="4"/>
  <c r="S74" i="4" s="1"/>
  <c r="D86" i="4" s="1"/>
  <c r="R2" i="4"/>
  <c r="R74" i="4" s="1"/>
  <c r="Q2" i="4"/>
  <c r="Q74" i="4" s="1"/>
  <c r="P2" i="4"/>
  <c r="P74" i="4" s="1"/>
  <c r="O2" i="4"/>
  <c r="O74" i="4" s="1"/>
  <c r="N2" i="4"/>
  <c r="N74" i="4" s="1"/>
  <c r="C86" i="4" s="1"/>
  <c r="M2" i="4"/>
  <c r="M74" i="4" s="1"/>
  <c r="L2" i="4"/>
  <c r="L74" i="4" s="1"/>
  <c r="K2" i="4"/>
  <c r="K74" i="4" s="1"/>
  <c r="J2" i="4"/>
  <c r="J74" i="4" s="1"/>
  <c r="I2" i="4"/>
  <c r="I74" i="4" s="1"/>
  <c r="B86" i="4" s="1"/>
  <c r="H2" i="4"/>
  <c r="H74" i="4" s="1"/>
  <c r="G2" i="4"/>
  <c r="F2" i="4"/>
  <c r="F74" i="4" s="1"/>
  <c r="E2" i="4"/>
  <c r="E74" i="4" s="1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E1" i="2"/>
  <c r="C6" i="1"/>
  <c r="G14" i="4" l="1"/>
  <c r="G6" i="2" s="1"/>
  <c r="G74" i="4"/>
  <c r="B4" i="45" a="1"/>
  <c r="B4" i="45" s="1"/>
  <c r="AJ14" i="4"/>
  <c r="AJ6" i="2" s="1"/>
  <c r="AI14" i="4"/>
  <c r="AI6" i="2" s="1"/>
  <c r="AL14" i="4"/>
  <c r="AL6" i="2" s="1"/>
  <c r="AK14" i="4"/>
  <c r="AK6" i="2" s="1"/>
  <c r="E33" i="4"/>
  <c r="E76" i="4" s="1"/>
  <c r="K14" i="4"/>
  <c r="K6" i="2" s="1"/>
  <c r="W14" i="4"/>
  <c r="W6" i="2" s="1"/>
  <c r="L14" i="4"/>
  <c r="L6" i="2" s="1"/>
  <c r="AE14" i="4"/>
  <c r="AE6" i="2" s="1"/>
  <c r="S14" i="4"/>
  <c r="S6" i="2" s="1"/>
  <c r="AH14" i="4"/>
  <c r="AH6" i="2" s="1"/>
  <c r="H14" i="4"/>
  <c r="H6" i="2" s="1"/>
  <c r="T14" i="4"/>
  <c r="T6" i="2" s="1"/>
  <c r="X14" i="4"/>
  <c r="X6" i="2" s="1"/>
  <c r="I14" i="4"/>
  <c r="I6" i="2" s="1"/>
  <c r="M14" i="4"/>
  <c r="M6" i="2" s="1"/>
  <c r="Q14" i="4"/>
  <c r="Q6" i="2" s="1"/>
  <c r="U14" i="4"/>
  <c r="U6" i="2" s="1"/>
  <c r="Y14" i="4"/>
  <c r="Y6" i="2" s="1"/>
  <c r="AF14" i="4"/>
  <c r="AF6" i="2" s="1"/>
  <c r="O14" i="4"/>
  <c r="O6" i="2" s="1"/>
  <c r="AD14" i="4"/>
  <c r="AD6" i="2" s="1"/>
  <c r="P14" i="4"/>
  <c r="P6" i="2" s="1"/>
  <c r="J14" i="4"/>
  <c r="J6" i="2" s="1"/>
  <c r="N14" i="4"/>
  <c r="N6" i="2" s="1"/>
  <c r="R14" i="4"/>
  <c r="R6" i="2" s="1"/>
  <c r="V14" i="4"/>
  <c r="V6" i="2" s="1"/>
  <c r="AC14" i="4"/>
  <c r="AC6" i="2" s="1"/>
  <c r="AG14" i="4"/>
  <c r="AG6" i="2" s="1"/>
  <c r="AH28" i="7"/>
  <c r="D28" i="7" s="1"/>
  <c r="AH27" i="7"/>
  <c r="D27" i="7" s="1"/>
  <c r="N9" i="1" s="1"/>
  <c r="AD29" i="7"/>
  <c r="AD15" i="3" s="1"/>
  <c r="AB11" i="47" s="1"/>
  <c r="AB27" i="47" s="1"/>
  <c r="AH23" i="7"/>
  <c r="D23" i="7" s="1"/>
  <c r="N5" i="1" s="1"/>
  <c r="AH22" i="7"/>
  <c r="AH26" i="7"/>
  <c r="D26" i="7" s="1"/>
  <c r="N8" i="1" s="1"/>
  <c r="AH24" i="7"/>
  <c r="D24" i="7" s="1"/>
  <c r="N6" i="1" s="1"/>
  <c r="AH25" i="7"/>
  <c r="D25" i="7" s="1"/>
  <c r="N7" i="1" s="1"/>
  <c r="E32" i="4"/>
  <c r="E75" i="4" s="1"/>
  <c r="F19" i="6"/>
  <c r="F21" i="6"/>
  <c r="F23" i="6"/>
  <c r="F25" i="6"/>
  <c r="F15" i="6"/>
  <c r="F17" i="6"/>
  <c r="F12" i="6"/>
  <c r="F10" i="6"/>
  <c r="F9" i="6"/>
  <c r="F20" i="6"/>
  <c r="F22" i="6"/>
  <c r="F24" i="6"/>
  <c r="F26" i="6"/>
  <c r="F16" i="6"/>
  <c r="F11" i="6"/>
  <c r="F13" i="6"/>
  <c r="F33" i="4"/>
  <c r="F76" i="4" s="1"/>
  <c r="F32" i="4"/>
  <c r="F75" i="4" s="1"/>
  <c r="E26" i="6"/>
  <c r="E22" i="6"/>
  <c r="E15" i="6"/>
  <c r="E10" i="6"/>
  <c r="E25" i="6"/>
  <c r="E21" i="6"/>
  <c r="E13" i="6"/>
  <c r="E23" i="6"/>
  <c r="E17" i="6"/>
  <c r="E11" i="6"/>
  <c r="E24" i="6"/>
  <c r="E20" i="6"/>
  <c r="E16" i="6"/>
  <c r="E12" i="6"/>
  <c r="E19" i="6"/>
  <c r="E9" i="6"/>
  <c r="AM17" i="8"/>
  <c r="H14" i="9"/>
  <c r="G4" i="8" s="1"/>
  <c r="I6" i="9"/>
  <c r="I4" i="13" s="1"/>
  <c r="I5" i="13" s="1"/>
  <c r="J6" i="9"/>
  <c r="E1" i="13"/>
  <c r="D4" i="8"/>
  <c r="E4" i="8"/>
  <c r="F4" i="8"/>
  <c r="D10" i="8"/>
  <c r="D11" i="8" s="1"/>
  <c r="D12" i="8" s="1"/>
  <c r="E10" i="8" s="1"/>
  <c r="E11" i="8" s="1"/>
  <c r="E12" i="8" s="1"/>
  <c r="F10" i="8" s="1"/>
  <c r="D18" i="2"/>
  <c r="E3" i="2"/>
  <c r="F1" i="2"/>
  <c r="V115" i="8"/>
  <c r="AB115" i="8"/>
  <c r="T115" i="8"/>
  <c r="O115" i="8"/>
  <c r="J115" i="8"/>
  <c r="H115" i="8"/>
  <c r="AF115" i="8"/>
  <c r="I115" i="8"/>
  <c r="Y115" i="8"/>
  <c r="G9" i="8"/>
  <c r="E1" i="9"/>
  <c r="E1" i="6"/>
  <c r="D1" i="8"/>
  <c r="E1" i="5"/>
  <c r="E1" i="4"/>
  <c r="E1" i="3"/>
  <c r="E1" i="7"/>
  <c r="E7" i="3"/>
  <c r="C5" i="47" s="1"/>
  <c r="C21" i="47" s="1"/>
  <c r="AI247" i="8"/>
  <c r="AH247" i="8"/>
  <c r="AM247" i="8"/>
  <c r="AL247" i="8"/>
  <c r="AK247" i="8"/>
  <c r="AJ247" i="8"/>
  <c r="AG203" i="8"/>
  <c r="Y203" i="8"/>
  <c r="Q203" i="8"/>
  <c r="I203" i="8"/>
  <c r="AF203" i="8"/>
  <c r="X203" i="8"/>
  <c r="P203" i="8"/>
  <c r="H203" i="8"/>
  <c r="AM203" i="8"/>
  <c r="AE203" i="8"/>
  <c r="W203" i="8"/>
  <c r="O203" i="8"/>
  <c r="G203" i="8"/>
  <c r="AJ203" i="8"/>
  <c r="AB203" i="8"/>
  <c r="T203" i="8"/>
  <c r="L203" i="8"/>
  <c r="D203" i="8"/>
  <c r="AC203" i="8"/>
  <c r="M203" i="8"/>
  <c r="AF159" i="8"/>
  <c r="X159" i="8"/>
  <c r="P159" i="8"/>
  <c r="H159" i="8"/>
  <c r="AA203" i="8"/>
  <c r="K203" i="8"/>
  <c r="AM159" i="8"/>
  <c r="AE159" i="8"/>
  <c r="W159" i="8"/>
  <c r="O159" i="8"/>
  <c r="G159" i="8"/>
  <c r="Z203" i="8"/>
  <c r="J203" i="8"/>
  <c r="AL159" i="8"/>
  <c r="AD159" i="8"/>
  <c r="V159" i="8"/>
  <c r="N159" i="8"/>
  <c r="F159" i="8"/>
  <c r="AL203" i="8"/>
  <c r="V203" i="8"/>
  <c r="F203" i="8"/>
  <c r="AK159" i="8"/>
  <c r="AC159" i="8"/>
  <c r="U159" i="8"/>
  <c r="M159" i="8"/>
  <c r="E159" i="8"/>
  <c r="AI203" i="8"/>
  <c r="S203" i="8"/>
  <c r="AI159" i="8"/>
  <c r="AA159" i="8"/>
  <c r="S159" i="8"/>
  <c r="K159" i="8"/>
  <c r="N203" i="8"/>
  <c r="T159" i="8"/>
  <c r="AK115" i="8"/>
  <c r="E203" i="8"/>
  <c r="R159" i="8"/>
  <c r="AJ115" i="8"/>
  <c r="AJ159" i="8"/>
  <c r="Q159" i="8"/>
  <c r="AK203" i="8"/>
  <c r="AH159" i="8"/>
  <c r="L159" i="8"/>
  <c r="AH115" i="8"/>
  <c r="AH203" i="8"/>
  <c r="AG159" i="8"/>
  <c r="J159" i="8"/>
  <c r="AG115" i="8"/>
  <c r="AD203" i="8"/>
  <c r="AB159" i="8"/>
  <c r="I159" i="8"/>
  <c r="D159" i="8"/>
  <c r="AL115" i="8"/>
  <c r="AL71" i="8"/>
  <c r="AD71" i="8"/>
  <c r="V71" i="8"/>
  <c r="AI115" i="8"/>
  <c r="AK71" i="8"/>
  <c r="AC71" i="8"/>
  <c r="U71" i="8"/>
  <c r="M71" i="8"/>
  <c r="E71" i="8"/>
  <c r="U203" i="8"/>
  <c r="P115" i="8"/>
  <c r="AJ71" i="8"/>
  <c r="AB71" i="8"/>
  <c r="T71" i="8"/>
  <c r="L71" i="8"/>
  <c r="D71" i="8"/>
  <c r="R203" i="8"/>
  <c r="AI71" i="8"/>
  <c r="AA71" i="8"/>
  <c r="S71" i="8"/>
  <c r="K71" i="8"/>
  <c r="AH71" i="8"/>
  <c r="Z71" i="8"/>
  <c r="R71" i="8"/>
  <c r="J71" i="8"/>
  <c r="AG71" i="8"/>
  <c r="Y71" i="8"/>
  <c r="Q71" i="8"/>
  <c r="I71" i="8"/>
  <c r="N71" i="8"/>
  <c r="AM71" i="8"/>
  <c r="H71" i="8"/>
  <c r="AL27" i="8"/>
  <c r="AF71" i="8"/>
  <c r="G71" i="8"/>
  <c r="AK27" i="8"/>
  <c r="AM115" i="8"/>
  <c r="AE71" i="8"/>
  <c r="F71" i="8"/>
  <c r="AJ27" i="8"/>
  <c r="W71" i="8"/>
  <c r="AH27" i="8"/>
  <c r="Z159" i="8"/>
  <c r="P71" i="8"/>
  <c r="X71" i="8"/>
  <c r="O71" i="8"/>
  <c r="AM27" i="8"/>
  <c r="AI27" i="8"/>
  <c r="Y159" i="8"/>
  <c r="B23" i="5"/>
  <c r="N4" i="45" l="1"/>
  <c r="AI4" i="45" s="1"/>
  <c r="BE4" i="45" s="1"/>
  <c r="BN4" i="45" s="1"/>
  <c r="BR4" i="45" s="1"/>
  <c r="BV4" i="45" s="1"/>
  <c r="G4" i="45"/>
  <c r="E40" i="4"/>
  <c r="F40" i="4"/>
  <c r="F83" i="4" s="1"/>
  <c r="F54" i="4"/>
  <c r="F43" i="4"/>
  <c r="F44" i="4"/>
  <c r="F55" i="4"/>
  <c r="E44" i="4"/>
  <c r="E55" i="4"/>
  <c r="E43" i="4"/>
  <c r="E54" i="4"/>
  <c r="F71" i="6"/>
  <c r="F47" i="6"/>
  <c r="E67" i="6"/>
  <c r="E43" i="6"/>
  <c r="F69" i="6"/>
  <c r="F45" i="6"/>
  <c r="F43" i="6"/>
  <c r="F67" i="6"/>
  <c r="E64" i="6"/>
  <c r="E40" i="6"/>
  <c r="F61" i="6"/>
  <c r="F37" i="6"/>
  <c r="E68" i="6"/>
  <c r="E44" i="6"/>
  <c r="E35" i="6"/>
  <c r="E59" i="6"/>
  <c r="F50" i="6"/>
  <c r="F74" i="6"/>
  <c r="F35" i="6"/>
  <c r="F59" i="6"/>
  <c r="F72" i="6"/>
  <c r="F48" i="6"/>
  <c r="E36" i="6"/>
  <c r="E60" i="6"/>
  <c r="E65" i="6"/>
  <c r="E41" i="6"/>
  <c r="E71" i="6"/>
  <c r="E47" i="6"/>
  <c r="F70" i="6"/>
  <c r="F46" i="6"/>
  <c r="E37" i="6"/>
  <c r="E61" i="6"/>
  <c r="F68" i="6"/>
  <c r="F44" i="6"/>
  <c r="F64" i="6"/>
  <c r="F40" i="6"/>
  <c r="E69" i="6"/>
  <c r="E45" i="6"/>
  <c r="F33" i="6"/>
  <c r="F57" i="6"/>
  <c r="E73" i="6"/>
  <c r="E49" i="6"/>
  <c r="F34" i="6"/>
  <c r="F58" i="6"/>
  <c r="E48" i="6"/>
  <c r="E72" i="6"/>
  <c r="E34" i="6"/>
  <c r="E58" i="6"/>
  <c r="F60" i="6"/>
  <c r="F36" i="6"/>
  <c r="E39" i="6"/>
  <c r="E63" i="6"/>
  <c r="F41" i="6"/>
  <c r="F65" i="6"/>
  <c r="E57" i="6"/>
  <c r="E33" i="6"/>
  <c r="E70" i="6"/>
  <c r="E46" i="6"/>
  <c r="F63" i="6"/>
  <c r="F39" i="6"/>
  <c r="E74" i="6"/>
  <c r="E50" i="6"/>
  <c r="F49" i="6"/>
  <c r="F73" i="6"/>
  <c r="AM29" i="7"/>
  <c r="AM15" i="3" s="1"/>
  <c r="AH29" i="7"/>
  <c r="AH15" i="3" s="1"/>
  <c r="AF11" i="47" s="1"/>
  <c r="AF27" i="47" s="1"/>
  <c r="H43" i="47" s="1"/>
  <c r="D22" i="7"/>
  <c r="D29" i="7" s="1"/>
  <c r="E28" i="6"/>
  <c r="F28" i="6"/>
  <c r="I14" i="9"/>
  <c r="J14" i="9" s="1"/>
  <c r="K6" i="9"/>
  <c r="J4" i="13"/>
  <c r="J5" i="13" s="1"/>
  <c r="AN26" i="4"/>
  <c r="AN27" i="4" s="1"/>
  <c r="AM26" i="4"/>
  <c r="AM27" i="4" s="1"/>
  <c r="F1" i="13"/>
  <c r="AA247" i="8"/>
  <c r="Y247" i="8"/>
  <c r="AC247" i="8"/>
  <c r="L247" i="8"/>
  <c r="AF247" i="8"/>
  <c r="AD115" i="8"/>
  <c r="AE247" i="8"/>
  <c r="AC115" i="8"/>
  <c r="AG27" i="8"/>
  <c r="Q115" i="8"/>
  <c r="L27" i="8"/>
  <c r="T247" i="8"/>
  <c r="AE115" i="8"/>
  <c r="Z247" i="8"/>
  <c r="V247" i="8"/>
  <c r="W115" i="8"/>
  <c r="S115" i="8"/>
  <c r="AD247" i="8"/>
  <c r="AA115" i="8"/>
  <c r="X115" i="8"/>
  <c r="R247" i="8"/>
  <c r="S247" i="8"/>
  <c r="AB247" i="8"/>
  <c r="K247" i="8"/>
  <c r="K115" i="8"/>
  <c r="N247" i="8"/>
  <c r="L115" i="8"/>
  <c r="W247" i="8"/>
  <c r="U115" i="8"/>
  <c r="T27" i="8"/>
  <c r="I27" i="8"/>
  <c r="Q27" i="8"/>
  <c r="V27" i="8"/>
  <c r="AA27" i="8"/>
  <c r="K27" i="8"/>
  <c r="AC27" i="8"/>
  <c r="N27" i="8"/>
  <c r="U27" i="8"/>
  <c r="AD27" i="8"/>
  <c r="AB27" i="8"/>
  <c r="F27" i="8"/>
  <c r="R27" i="8"/>
  <c r="I247" i="8"/>
  <c r="G115" i="8"/>
  <c r="O27" i="8"/>
  <c r="S27" i="8"/>
  <c r="Z27" i="8"/>
  <c r="J27" i="8"/>
  <c r="G27" i="8"/>
  <c r="U247" i="8"/>
  <c r="Y27" i="8"/>
  <c r="G247" i="8"/>
  <c r="E115" i="8"/>
  <c r="W27" i="8"/>
  <c r="N115" i="8"/>
  <c r="AF27" i="8"/>
  <c r="AG247" i="8"/>
  <c r="M27" i="8"/>
  <c r="P27" i="8"/>
  <c r="R115" i="8"/>
  <c r="Z115" i="8"/>
  <c r="O247" i="8"/>
  <c r="M115" i="8"/>
  <c r="AE27" i="8"/>
  <c r="X247" i="8"/>
  <c r="H247" i="8"/>
  <c r="F115" i="8"/>
  <c r="E27" i="8"/>
  <c r="X27" i="8"/>
  <c r="B249" i="8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05" i="8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117" i="8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61" i="8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73" i="8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29" i="8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C161" i="8" a="1"/>
  <c r="E3" i="9"/>
  <c r="D3" i="8"/>
  <c r="D25" i="8" s="1"/>
  <c r="E3" i="7"/>
  <c r="E3" i="5"/>
  <c r="E3" i="3"/>
  <c r="E247" i="8"/>
  <c r="F247" i="8"/>
  <c r="C73" i="8" a="1"/>
  <c r="J247" i="8"/>
  <c r="F11" i="8"/>
  <c r="AL26" i="4"/>
  <c r="AL27" i="4" s="1"/>
  <c r="AD26" i="4"/>
  <c r="AD27" i="4" s="1"/>
  <c r="V26" i="4"/>
  <c r="V27" i="4" s="1"/>
  <c r="N26" i="4"/>
  <c r="N27" i="4" s="1"/>
  <c r="F26" i="4"/>
  <c r="F27" i="4" s="1"/>
  <c r="AK26" i="4"/>
  <c r="AK27" i="4" s="1"/>
  <c r="AC26" i="4"/>
  <c r="AC27" i="4" s="1"/>
  <c r="U26" i="4"/>
  <c r="U27" i="4" s="1"/>
  <c r="M26" i="4"/>
  <c r="M27" i="4" s="1"/>
  <c r="E26" i="4"/>
  <c r="E27" i="4" s="1"/>
  <c r="AJ26" i="4"/>
  <c r="AJ27" i="4" s="1"/>
  <c r="AB26" i="4"/>
  <c r="AB27" i="4" s="1"/>
  <c r="T26" i="4"/>
  <c r="T27" i="4" s="1"/>
  <c r="L26" i="4"/>
  <c r="L27" i="4" s="1"/>
  <c r="AI26" i="4"/>
  <c r="AI27" i="4" s="1"/>
  <c r="AA26" i="4"/>
  <c r="AA27" i="4" s="1"/>
  <c r="S26" i="4"/>
  <c r="S27" i="4" s="1"/>
  <c r="K26" i="4"/>
  <c r="K27" i="4" s="1"/>
  <c r="AH26" i="4"/>
  <c r="AH27" i="4" s="1"/>
  <c r="Z26" i="4"/>
  <c r="Z27" i="4" s="1"/>
  <c r="R26" i="4"/>
  <c r="R27" i="4" s="1"/>
  <c r="J26" i="4"/>
  <c r="J27" i="4" s="1"/>
  <c r="AG26" i="4"/>
  <c r="AG27" i="4" s="1"/>
  <c r="Y26" i="4"/>
  <c r="Y27" i="4" s="1"/>
  <c r="Q26" i="4"/>
  <c r="Q27" i="4" s="1"/>
  <c r="P26" i="4"/>
  <c r="P27" i="4" s="1"/>
  <c r="O26" i="4"/>
  <c r="O27" i="4" s="1"/>
  <c r="H26" i="4"/>
  <c r="H27" i="4" s="1"/>
  <c r="G26" i="4"/>
  <c r="G27" i="4" s="1"/>
  <c r="X26" i="4"/>
  <c r="X27" i="4" s="1"/>
  <c r="AF26" i="4"/>
  <c r="AF27" i="4" s="1"/>
  <c r="AE26" i="4"/>
  <c r="AE27" i="4" s="1"/>
  <c r="W26" i="4"/>
  <c r="W27" i="4" s="1"/>
  <c r="D115" i="8"/>
  <c r="M247" i="8"/>
  <c r="F1" i="9"/>
  <c r="F1" i="6"/>
  <c r="E1" i="8"/>
  <c r="F1" i="7"/>
  <c r="F1" i="5"/>
  <c r="F1" i="4"/>
  <c r="F1" i="3"/>
  <c r="G1" i="2"/>
  <c r="F3" i="2"/>
  <c r="P247" i="8"/>
  <c r="D27" i="8"/>
  <c r="C205" i="8" a="1"/>
  <c r="Q247" i="8"/>
  <c r="H9" i="8"/>
  <c r="E83" i="4" l="1"/>
  <c r="CD4" i="45"/>
  <c r="BZ4" i="45"/>
  <c r="H4" i="8"/>
  <c r="E51" i="4"/>
  <c r="F51" i="4"/>
  <c r="E62" i="4"/>
  <c r="E7" i="4"/>
  <c r="E21" i="5" s="1"/>
  <c r="F7" i="4"/>
  <c r="F21" i="5" s="1"/>
  <c r="F62" i="4"/>
  <c r="N4" i="1"/>
  <c r="N14" i="1"/>
  <c r="N16" i="1" s="1"/>
  <c r="E76" i="6"/>
  <c r="F52" i="6"/>
  <c r="F27" i="2" s="1"/>
  <c r="E52" i="6"/>
  <c r="E27" i="2" s="1"/>
  <c r="E28" i="2" s="1"/>
  <c r="F76" i="6"/>
  <c r="L6" i="9"/>
  <c r="K4" i="13"/>
  <c r="K5" i="13" s="1"/>
  <c r="I4" i="8"/>
  <c r="K14" i="9"/>
  <c r="K23" i="3"/>
  <c r="G1" i="13"/>
  <c r="J17" i="8"/>
  <c r="C117" i="8" a="1"/>
  <c r="C124" i="8" s="1"/>
  <c r="C240" i="8"/>
  <c r="C232" i="8"/>
  <c r="C224" i="8"/>
  <c r="C216" i="8"/>
  <c r="C208" i="8"/>
  <c r="C239" i="8"/>
  <c r="C231" i="8"/>
  <c r="C223" i="8"/>
  <c r="C215" i="8"/>
  <c r="C207" i="8"/>
  <c r="C238" i="8"/>
  <c r="C230" i="8"/>
  <c r="C222" i="8"/>
  <c r="C214" i="8"/>
  <c r="C206" i="8"/>
  <c r="C235" i="8"/>
  <c r="C227" i="8"/>
  <c r="C219" i="8"/>
  <c r="C211" i="8"/>
  <c r="C236" i="8"/>
  <c r="C220" i="8"/>
  <c r="C205" i="8"/>
  <c r="C234" i="8"/>
  <c r="C218" i="8"/>
  <c r="C233" i="8"/>
  <c r="C217" i="8"/>
  <c r="C229" i="8"/>
  <c r="C213" i="8"/>
  <c r="C226" i="8"/>
  <c r="C210" i="8"/>
  <c r="C225" i="8"/>
  <c r="C221" i="8"/>
  <c r="C212" i="8"/>
  <c r="C209" i="8"/>
  <c r="C237" i="8"/>
  <c r="C228" i="8"/>
  <c r="G17" i="8"/>
  <c r="H23" i="3"/>
  <c r="O23" i="3"/>
  <c r="N17" i="8"/>
  <c r="Z17" i="8"/>
  <c r="AA23" i="3"/>
  <c r="AA22" i="3" s="1"/>
  <c r="Y13" i="47" s="1"/>
  <c r="Y29" i="47" s="1"/>
  <c r="C105" i="8"/>
  <c r="C97" i="8"/>
  <c r="C89" i="8"/>
  <c r="C81" i="8"/>
  <c r="C104" i="8"/>
  <c r="C96" i="8"/>
  <c r="C88" i="8"/>
  <c r="C80" i="8"/>
  <c r="C73" i="8"/>
  <c r="C103" i="8"/>
  <c r="C95" i="8"/>
  <c r="C87" i="8"/>
  <c r="C79" i="8"/>
  <c r="C102" i="8"/>
  <c r="C94" i="8"/>
  <c r="C86" i="8"/>
  <c r="C78" i="8"/>
  <c r="C101" i="8"/>
  <c r="C93" i="8"/>
  <c r="C85" i="8"/>
  <c r="C77" i="8"/>
  <c r="C108" i="8"/>
  <c r="C100" i="8"/>
  <c r="C92" i="8"/>
  <c r="C84" i="8"/>
  <c r="C76" i="8"/>
  <c r="C99" i="8"/>
  <c r="C98" i="8"/>
  <c r="C91" i="8"/>
  <c r="C90" i="8"/>
  <c r="C82" i="8"/>
  <c r="C107" i="8"/>
  <c r="C75" i="8"/>
  <c r="C106" i="8"/>
  <c r="C83" i="8"/>
  <c r="C74" i="8"/>
  <c r="AC17" i="8"/>
  <c r="AD13" i="13"/>
  <c r="AD23" i="3" s="1"/>
  <c r="AD22" i="3" s="1"/>
  <c r="AB13" i="47" s="1"/>
  <c r="AB29" i="47" s="1"/>
  <c r="R17" i="8"/>
  <c r="C195" i="8"/>
  <c r="C187" i="8"/>
  <c r="C179" i="8"/>
  <c r="C171" i="8"/>
  <c r="C163" i="8"/>
  <c r="C194" i="8"/>
  <c r="C186" i="8"/>
  <c r="C178" i="8"/>
  <c r="C170" i="8"/>
  <c r="C162" i="8"/>
  <c r="C193" i="8"/>
  <c r="C185" i="8"/>
  <c r="C177" i="8"/>
  <c r="C169" i="8"/>
  <c r="C192" i="8"/>
  <c r="C184" i="8"/>
  <c r="C176" i="8"/>
  <c r="C168" i="8"/>
  <c r="C161" i="8"/>
  <c r="C190" i="8"/>
  <c r="C182" i="8"/>
  <c r="C174" i="8"/>
  <c r="C166" i="8"/>
  <c r="C189" i="8"/>
  <c r="C167" i="8"/>
  <c r="C188" i="8"/>
  <c r="C165" i="8"/>
  <c r="C183" i="8"/>
  <c r="C164" i="8"/>
  <c r="C181" i="8"/>
  <c r="C180" i="8"/>
  <c r="C175" i="8"/>
  <c r="C173" i="8"/>
  <c r="C172" i="8"/>
  <c r="C191" i="8"/>
  <c r="C196" i="8"/>
  <c r="X17" i="8"/>
  <c r="Y23" i="3"/>
  <c r="Y22" i="3" s="1"/>
  <c r="W13" i="47" s="1"/>
  <c r="W29" i="47" s="1"/>
  <c r="F12" i="8"/>
  <c r="G10" i="8" s="1"/>
  <c r="G11" i="8" s="1"/>
  <c r="AD17" i="8"/>
  <c r="AE13" i="13"/>
  <c r="AE23" i="3" s="1"/>
  <c r="AE22" i="3" s="1"/>
  <c r="AC13" i="47" s="1"/>
  <c r="AC29" i="47" s="1"/>
  <c r="F3" i="9"/>
  <c r="E3" i="8"/>
  <c r="E25" i="8" s="1"/>
  <c r="F3" i="7"/>
  <c r="F3" i="5"/>
  <c r="F3" i="3"/>
  <c r="AE17" i="8"/>
  <c r="AF13" i="13"/>
  <c r="AF23" i="3" s="1"/>
  <c r="AF22" i="3" s="1"/>
  <c r="AD13" i="47" s="1"/>
  <c r="AD29" i="47" s="1"/>
  <c r="O17" i="8"/>
  <c r="P23" i="3"/>
  <c r="L17" i="8"/>
  <c r="M23" i="3"/>
  <c r="V23" i="3"/>
  <c r="V22" i="3" s="1"/>
  <c r="T13" i="47" s="1"/>
  <c r="T29" i="47" s="1"/>
  <c r="U17" i="8"/>
  <c r="W17" i="8"/>
  <c r="Y17" i="8"/>
  <c r="Z23" i="3"/>
  <c r="Z22" i="3" s="1"/>
  <c r="X13" i="47" s="1"/>
  <c r="X29" i="47" s="1"/>
  <c r="M17" i="8"/>
  <c r="AB17" i="8"/>
  <c r="AC13" i="13"/>
  <c r="AC23" i="3" s="1"/>
  <c r="AC22" i="3" s="1"/>
  <c r="AA13" i="47" s="1"/>
  <c r="AA29" i="47" s="1"/>
  <c r="G45" i="47" s="1"/>
  <c r="G1" i="9"/>
  <c r="F1" i="8"/>
  <c r="G1" i="7"/>
  <c r="G1" i="6"/>
  <c r="G1" i="5"/>
  <c r="G1" i="3"/>
  <c r="G1" i="4"/>
  <c r="G3" i="2"/>
  <c r="H1" i="2"/>
  <c r="W23" i="3"/>
  <c r="W22" i="3" s="1"/>
  <c r="U13" i="47" s="1"/>
  <c r="U29" i="47" s="1"/>
  <c r="V17" i="8"/>
  <c r="S17" i="8"/>
  <c r="T23" i="3"/>
  <c r="I9" i="8"/>
  <c r="I17" i="8"/>
  <c r="J23" i="3"/>
  <c r="T17" i="8"/>
  <c r="U23" i="3"/>
  <c r="U22" i="3" s="1"/>
  <c r="S13" i="47" s="1"/>
  <c r="S29" i="47" s="1"/>
  <c r="AA17" i="8"/>
  <c r="AB13" i="13"/>
  <c r="AB23" i="3" s="1"/>
  <c r="AB22" i="3" s="1"/>
  <c r="Z13" i="47" s="1"/>
  <c r="Z29" i="47" s="1"/>
  <c r="P17" i="8"/>
  <c r="Q23" i="3"/>
  <c r="AF17" i="8"/>
  <c r="AG13" i="13"/>
  <c r="AG23" i="3" s="1"/>
  <c r="AG22" i="3" s="1"/>
  <c r="AE13" i="47" s="1"/>
  <c r="AE29" i="47" s="1"/>
  <c r="AG17" i="8"/>
  <c r="K17" i="8"/>
  <c r="L23" i="3"/>
  <c r="Q17" i="8"/>
  <c r="R23" i="3"/>
  <c r="E7" i="2" l="1"/>
  <c r="E8" i="4"/>
  <c r="L14" i="9"/>
  <c r="J4" i="8"/>
  <c r="M6" i="9"/>
  <c r="L4" i="13"/>
  <c r="L5" i="13" s="1"/>
  <c r="N23" i="3"/>
  <c r="X23" i="3"/>
  <c r="X22" i="3" s="1"/>
  <c r="V13" i="47" s="1"/>
  <c r="V29" i="47" s="1"/>
  <c r="F45" i="47" s="1"/>
  <c r="AH13" i="13"/>
  <c r="AH23" i="3" s="1"/>
  <c r="AH22" i="3" s="1"/>
  <c r="AF13" i="47" s="1"/>
  <c r="AF29" i="47" s="1"/>
  <c r="H45" i="47" s="1"/>
  <c r="H1" i="13"/>
  <c r="S23" i="3"/>
  <c r="C142" i="8"/>
  <c r="C122" i="8"/>
  <c r="C117" i="8"/>
  <c r="C150" i="8"/>
  <c r="C120" i="8"/>
  <c r="C121" i="8"/>
  <c r="C145" i="8"/>
  <c r="C149" i="8"/>
  <c r="C140" i="8"/>
  <c r="C138" i="8"/>
  <c r="C133" i="8"/>
  <c r="C147" i="8"/>
  <c r="C152" i="8"/>
  <c r="C126" i="8"/>
  <c r="C134" i="8"/>
  <c r="C141" i="8"/>
  <c r="C137" i="8"/>
  <c r="C132" i="8"/>
  <c r="C143" i="8"/>
  <c r="C119" i="8"/>
  <c r="C128" i="8"/>
  <c r="C123" i="8"/>
  <c r="C148" i="8"/>
  <c r="C130" i="8"/>
  <c r="C135" i="8"/>
  <c r="C136" i="8"/>
  <c r="C131" i="8"/>
  <c r="C146" i="8"/>
  <c r="C151" i="8"/>
  <c r="C144" i="8"/>
  <c r="C139" i="8"/>
  <c r="C127" i="8"/>
  <c r="C118" i="8"/>
  <c r="C125" i="8"/>
  <c r="C129" i="8"/>
  <c r="C241" i="8"/>
  <c r="C109" i="8"/>
  <c r="H1" i="9"/>
  <c r="G1" i="8"/>
  <c r="H1" i="7"/>
  <c r="H1" i="3"/>
  <c r="H1" i="6"/>
  <c r="H1" i="5"/>
  <c r="H1" i="4"/>
  <c r="I1" i="2"/>
  <c r="H3" i="2"/>
  <c r="F17" i="8"/>
  <c r="J9" i="8"/>
  <c r="G12" i="8"/>
  <c r="H10" i="8" s="1"/>
  <c r="H11" i="8" s="1"/>
  <c r="C197" i="8"/>
  <c r="E24" i="5"/>
  <c r="E10" i="5" s="1"/>
  <c r="E25" i="5"/>
  <c r="E26" i="5"/>
  <c r="G3" i="9"/>
  <c r="F3" i="8"/>
  <c r="F25" i="8" s="1"/>
  <c r="G3" i="7"/>
  <c r="G3" i="3"/>
  <c r="G3" i="4"/>
  <c r="G3" i="5"/>
  <c r="G3" i="6"/>
  <c r="G18" i="6" s="1"/>
  <c r="G42" i="6" l="1"/>
  <c r="G66" i="6"/>
  <c r="G33" i="4"/>
  <c r="G76" i="4" s="1"/>
  <c r="G37" i="4"/>
  <c r="G80" i="4" s="1"/>
  <c r="G32" i="4"/>
  <c r="G75" i="4" s="1"/>
  <c r="G24" i="6"/>
  <c r="G13" i="6"/>
  <c r="G19" i="6"/>
  <c r="G15" i="6"/>
  <c r="G25" i="6"/>
  <c r="G20" i="6"/>
  <c r="G16" i="6"/>
  <c r="G26" i="6"/>
  <c r="G12" i="6"/>
  <c r="G21" i="6"/>
  <c r="G17" i="6"/>
  <c r="G10" i="6"/>
  <c r="G23" i="6"/>
  <c r="G11" i="6"/>
  <c r="G22" i="6"/>
  <c r="G9" i="6"/>
  <c r="G39" i="4"/>
  <c r="G82" i="4" s="1"/>
  <c r="G38" i="4"/>
  <c r="G81" i="4" s="1"/>
  <c r="G34" i="4"/>
  <c r="G77" i="4" s="1"/>
  <c r="G35" i="4"/>
  <c r="G78" i="4" s="1"/>
  <c r="G36" i="4"/>
  <c r="G79" i="4" s="1"/>
  <c r="M14" i="9"/>
  <c r="K4" i="8"/>
  <c r="N6" i="9"/>
  <c r="M4" i="13"/>
  <c r="M5" i="13" s="1"/>
  <c r="I1" i="13"/>
  <c r="R15" i="13"/>
  <c r="R24" i="3" s="1"/>
  <c r="G23" i="3"/>
  <c r="S15" i="13"/>
  <c r="S24" i="3" s="1"/>
  <c r="F23" i="3"/>
  <c r="E12" i="5"/>
  <c r="E15" i="2" s="1"/>
  <c r="E11" i="5"/>
  <c r="E13" i="2" s="1"/>
  <c r="C153" i="8"/>
  <c r="H12" i="8"/>
  <c r="I10" i="8" s="1"/>
  <c r="I11" i="8" s="1"/>
  <c r="I1" i="9"/>
  <c r="I1" i="7"/>
  <c r="I1" i="3"/>
  <c r="H1" i="8"/>
  <c r="I1" i="6"/>
  <c r="I1" i="5"/>
  <c r="I1" i="4"/>
  <c r="I3" i="2"/>
  <c r="J1" i="2"/>
  <c r="D247" i="8"/>
  <c r="C249" i="8" s="1" a="1"/>
  <c r="F28" i="2"/>
  <c r="K9" i="8"/>
  <c r="H3" i="9"/>
  <c r="G3" i="8"/>
  <c r="G25" i="8" s="1"/>
  <c r="H3" i="7"/>
  <c r="H3" i="3"/>
  <c r="H3" i="4"/>
  <c r="H3" i="5"/>
  <c r="H3" i="6"/>
  <c r="H18" i="6" s="1"/>
  <c r="E23" i="5"/>
  <c r="H42" i="6" l="1"/>
  <c r="H66" i="6"/>
  <c r="G56" i="4"/>
  <c r="G45" i="4"/>
  <c r="G60" i="4"/>
  <c r="G49" i="4"/>
  <c r="G50" i="4"/>
  <c r="G61" i="4"/>
  <c r="G43" i="4"/>
  <c r="G54" i="4"/>
  <c r="G59" i="4"/>
  <c r="G48" i="4"/>
  <c r="G46" i="4"/>
  <c r="G57" i="4"/>
  <c r="G58" i="4"/>
  <c r="G47" i="4"/>
  <c r="G44" i="4"/>
  <c r="G55" i="4"/>
  <c r="H33" i="4"/>
  <c r="H76" i="4" s="1"/>
  <c r="H37" i="4"/>
  <c r="H80" i="4" s="1"/>
  <c r="G50" i="6"/>
  <c r="G74" i="6"/>
  <c r="G40" i="6"/>
  <c r="G64" i="6"/>
  <c r="G34" i="6"/>
  <c r="G58" i="6"/>
  <c r="G69" i="6"/>
  <c r="G45" i="6"/>
  <c r="G44" i="6"/>
  <c r="G68" i="6"/>
  <c r="G59" i="6"/>
  <c r="G35" i="6"/>
  <c r="G49" i="6"/>
  <c r="G73" i="6"/>
  <c r="G39" i="6"/>
  <c r="G63" i="6"/>
  <c r="G60" i="6"/>
  <c r="G36" i="6"/>
  <c r="G67" i="6"/>
  <c r="G43" i="6"/>
  <c r="G61" i="6"/>
  <c r="G37" i="6"/>
  <c r="G41" i="6"/>
  <c r="G65" i="6"/>
  <c r="G48" i="6"/>
  <c r="G72" i="6"/>
  <c r="G33" i="6"/>
  <c r="G57" i="6"/>
  <c r="G47" i="6"/>
  <c r="G71" i="6"/>
  <c r="G70" i="6"/>
  <c r="G46" i="6"/>
  <c r="H32" i="4"/>
  <c r="H75" i="4" s="1"/>
  <c r="H24" i="6"/>
  <c r="H13" i="6"/>
  <c r="H19" i="6"/>
  <c r="H15" i="6"/>
  <c r="H25" i="6"/>
  <c r="H20" i="6"/>
  <c r="H16" i="6"/>
  <c r="H11" i="6"/>
  <c r="H26" i="6"/>
  <c r="H22" i="6"/>
  <c r="H21" i="6"/>
  <c r="H17" i="6"/>
  <c r="H10" i="6"/>
  <c r="H23" i="6"/>
  <c r="H12" i="6"/>
  <c r="H9" i="6"/>
  <c r="G28" i="6"/>
  <c r="G40" i="4"/>
  <c r="H39" i="4"/>
  <c r="H82" i="4" s="1"/>
  <c r="H36" i="4"/>
  <c r="H79" i="4" s="1"/>
  <c r="H38" i="4"/>
  <c r="H81" i="4" s="1"/>
  <c r="H34" i="4"/>
  <c r="H77" i="4" s="1"/>
  <c r="H35" i="4"/>
  <c r="H78" i="4" s="1"/>
  <c r="O6" i="9"/>
  <c r="N4" i="13"/>
  <c r="N5" i="13" s="1"/>
  <c r="N14" i="9"/>
  <c r="L4" i="8"/>
  <c r="J1" i="13"/>
  <c r="J1" i="9"/>
  <c r="J1" i="7"/>
  <c r="J1" i="6"/>
  <c r="I1" i="8"/>
  <c r="J1" i="5"/>
  <c r="J1" i="4"/>
  <c r="J1" i="3"/>
  <c r="K1" i="2"/>
  <c r="J3" i="2"/>
  <c r="I3" i="9"/>
  <c r="I3" i="7"/>
  <c r="I3" i="3"/>
  <c r="I3" i="6"/>
  <c r="I18" i="6" s="1"/>
  <c r="I3" i="5"/>
  <c r="I3" i="4"/>
  <c r="H3" i="8"/>
  <c r="H25" i="8" s="1"/>
  <c r="L9" i="8"/>
  <c r="C278" i="8"/>
  <c r="C270" i="8"/>
  <c r="C262" i="8"/>
  <c r="C254" i="8"/>
  <c r="C277" i="8"/>
  <c r="C269" i="8"/>
  <c r="C261" i="8"/>
  <c r="C253" i="8"/>
  <c r="C284" i="8"/>
  <c r="C276" i="8"/>
  <c r="C268" i="8"/>
  <c r="C260" i="8"/>
  <c r="C252" i="8"/>
  <c r="C283" i="8"/>
  <c r="C275" i="8"/>
  <c r="C267" i="8"/>
  <c r="C259" i="8"/>
  <c r="C251" i="8"/>
  <c r="C282" i="8"/>
  <c r="C274" i="8"/>
  <c r="C266" i="8"/>
  <c r="C258" i="8"/>
  <c r="C250" i="8"/>
  <c r="C281" i="8"/>
  <c r="C273" i="8"/>
  <c r="C265" i="8"/>
  <c r="C257" i="8"/>
  <c r="C280" i="8"/>
  <c r="C272" i="8"/>
  <c r="C264" i="8"/>
  <c r="C256" i="8"/>
  <c r="C249" i="8"/>
  <c r="C279" i="8"/>
  <c r="C271" i="8"/>
  <c r="C263" i="8"/>
  <c r="C255" i="8"/>
  <c r="E9" i="5"/>
  <c r="E11" i="2"/>
  <c r="I12" i="8"/>
  <c r="J10" i="8" s="1"/>
  <c r="J11" i="8" s="1"/>
  <c r="G83" i="4" l="1"/>
  <c r="I42" i="6"/>
  <c r="I66" i="6"/>
  <c r="G62" i="4"/>
  <c r="G51" i="4"/>
  <c r="H46" i="4"/>
  <c r="H57" i="4"/>
  <c r="H60" i="4"/>
  <c r="H49" i="4"/>
  <c r="H48" i="4"/>
  <c r="H59" i="4"/>
  <c r="H56" i="4"/>
  <c r="H45" i="4"/>
  <c r="H58" i="4"/>
  <c r="H47" i="4"/>
  <c r="H55" i="4"/>
  <c r="H44" i="4"/>
  <c r="H43" i="4"/>
  <c r="H54" i="4"/>
  <c r="H50" i="4"/>
  <c r="H61" i="4"/>
  <c r="G7" i="4"/>
  <c r="I33" i="4"/>
  <c r="I76" i="4" s="1"/>
  <c r="B88" i="4" s="1"/>
  <c r="I37" i="4"/>
  <c r="I80" i="4" s="1"/>
  <c r="B92" i="4" s="1"/>
  <c r="H69" i="6"/>
  <c r="H45" i="6"/>
  <c r="H34" i="6"/>
  <c r="H58" i="6"/>
  <c r="H41" i="6"/>
  <c r="H65" i="6"/>
  <c r="H40" i="6"/>
  <c r="H64" i="6"/>
  <c r="H71" i="6"/>
  <c r="H47" i="6"/>
  <c r="H50" i="6"/>
  <c r="H74" i="6"/>
  <c r="H68" i="6"/>
  <c r="H44" i="6"/>
  <c r="H49" i="6"/>
  <c r="H73" i="6"/>
  <c r="H63" i="6"/>
  <c r="H39" i="6"/>
  <c r="H70" i="6"/>
  <c r="H46" i="6"/>
  <c r="H59" i="6"/>
  <c r="H35" i="6"/>
  <c r="H67" i="6"/>
  <c r="H43" i="6"/>
  <c r="H61" i="6"/>
  <c r="H37" i="6"/>
  <c r="H48" i="6"/>
  <c r="H72" i="6"/>
  <c r="H33" i="6"/>
  <c r="H57" i="6"/>
  <c r="H60" i="6"/>
  <c r="H36" i="6"/>
  <c r="I32" i="4"/>
  <c r="I75" i="4" s="1"/>
  <c r="B87" i="4" s="1"/>
  <c r="I9" i="6"/>
  <c r="I24" i="6"/>
  <c r="I13" i="6"/>
  <c r="I15" i="6"/>
  <c r="I12" i="6"/>
  <c r="I11" i="6"/>
  <c r="I19" i="6"/>
  <c r="I25" i="6"/>
  <c r="I20" i="6"/>
  <c r="I16" i="6"/>
  <c r="I26" i="6"/>
  <c r="I21" i="6"/>
  <c r="I17" i="6"/>
  <c r="I10" i="6"/>
  <c r="I22" i="6"/>
  <c r="I23" i="6"/>
  <c r="G52" i="6"/>
  <c r="G27" i="2" s="1"/>
  <c r="G76" i="6"/>
  <c r="H28" i="6"/>
  <c r="I39" i="4"/>
  <c r="I82" i="4" s="1"/>
  <c r="B94" i="4" s="1"/>
  <c r="H40" i="4"/>
  <c r="H83" i="4" s="1"/>
  <c r="I36" i="4"/>
  <c r="I79" i="4" s="1"/>
  <c r="B91" i="4" s="1"/>
  <c r="I38" i="4"/>
  <c r="I81" i="4" s="1"/>
  <c r="B93" i="4" s="1"/>
  <c r="I34" i="4"/>
  <c r="I77" i="4" s="1"/>
  <c r="B89" i="4" s="1"/>
  <c r="I35" i="4"/>
  <c r="I78" i="4" s="1"/>
  <c r="B90" i="4" s="1"/>
  <c r="O14" i="9"/>
  <c r="M4" i="8"/>
  <c r="P6" i="9"/>
  <c r="O4" i="13"/>
  <c r="O5" i="13" s="1"/>
  <c r="K1" i="13"/>
  <c r="J12" i="8"/>
  <c r="K10" i="8" s="1"/>
  <c r="K11" i="8" s="1"/>
  <c r="M9" i="8"/>
  <c r="J3" i="9"/>
  <c r="J3" i="7"/>
  <c r="J3" i="6"/>
  <c r="J18" i="6" s="1"/>
  <c r="J3" i="5"/>
  <c r="J3" i="4"/>
  <c r="I3" i="8"/>
  <c r="I25" i="8" s="1"/>
  <c r="J3" i="3"/>
  <c r="C285" i="8"/>
  <c r="K1" i="9"/>
  <c r="K1" i="7"/>
  <c r="K1" i="6"/>
  <c r="J1" i="8"/>
  <c r="K1" i="5"/>
  <c r="K1" i="4"/>
  <c r="K1" i="3"/>
  <c r="K3" i="2"/>
  <c r="L1" i="2"/>
  <c r="E10" i="2"/>
  <c r="J66" i="6" l="1"/>
  <c r="J42" i="6"/>
  <c r="H51" i="4"/>
  <c r="H62" i="4"/>
  <c r="I60" i="4"/>
  <c r="I49" i="4"/>
  <c r="I58" i="4"/>
  <c r="I47" i="4"/>
  <c r="I48" i="4"/>
  <c r="I59" i="4"/>
  <c r="I55" i="4"/>
  <c r="I44" i="4"/>
  <c r="I50" i="4"/>
  <c r="I61" i="4"/>
  <c r="I45" i="4"/>
  <c r="I56" i="4"/>
  <c r="I43" i="4"/>
  <c r="I54" i="4"/>
  <c r="I46" i="4"/>
  <c r="I57" i="4"/>
  <c r="H7" i="4"/>
  <c r="H7" i="2" s="1"/>
  <c r="H5" i="2" s="1"/>
  <c r="F3" i="46" s="1"/>
  <c r="F16" i="46" s="1"/>
  <c r="J33" i="4"/>
  <c r="J76" i="4" s="1"/>
  <c r="C88" i="4" s="1"/>
  <c r="J37" i="4"/>
  <c r="J80" i="4" s="1"/>
  <c r="C92" i="4" s="1"/>
  <c r="I40" i="6"/>
  <c r="I64" i="6"/>
  <c r="I74" i="6"/>
  <c r="I50" i="6"/>
  <c r="I35" i="6"/>
  <c r="I59" i="6"/>
  <c r="I60" i="6"/>
  <c r="I36" i="6"/>
  <c r="I49" i="6"/>
  <c r="I73" i="6"/>
  <c r="I39" i="6"/>
  <c r="I63" i="6"/>
  <c r="I69" i="6"/>
  <c r="I45" i="6"/>
  <c r="I61" i="6"/>
  <c r="I37" i="6"/>
  <c r="I68" i="6"/>
  <c r="I44" i="6"/>
  <c r="I48" i="6"/>
  <c r="I72" i="6"/>
  <c r="I33" i="6"/>
  <c r="I57" i="6"/>
  <c r="I47" i="6"/>
  <c r="I71" i="6"/>
  <c r="I41" i="6"/>
  <c r="I65" i="6"/>
  <c r="I67" i="6"/>
  <c r="I43" i="6"/>
  <c r="I46" i="6"/>
  <c r="I70" i="6"/>
  <c r="I58" i="6"/>
  <c r="I34" i="6"/>
  <c r="G28" i="2"/>
  <c r="J32" i="4"/>
  <c r="J75" i="4" s="1"/>
  <c r="C87" i="4" s="1"/>
  <c r="J23" i="6"/>
  <c r="J12" i="6"/>
  <c r="J9" i="6"/>
  <c r="J11" i="6"/>
  <c r="J13" i="6"/>
  <c r="J24" i="6"/>
  <c r="J10" i="6"/>
  <c r="J19" i="6"/>
  <c r="J15" i="6"/>
  <c r="J22" i="6"/>
  <c r="J25" i="6"/>
  <c r="J20" i="6"/>
  <c r="J16" i="6"/>
  <c r="J17" i="6"/>
  <c r="J26" i="6"/>
  <c r="J21" i="6"/>
  <c r="H76" i="6"/>
  <c r="H52" i="6"/>
  <c r="H27" i="2" s="1"/>
  <c r="I28" i="6"/>
  <c r="J39" i="4"/>
  <c r="J82" i="4" s="1"/>
  <c r="C94" i="4" s="1"/>
  <c r="I40" i="4"/>
  <c r="I83" i="4" s="1"/>
  <c r="B95" i="4" s="1"/>
  <c r="G21" i="5"/>
  <c r="G8" i="4"/>
  <c r="G7" i="2"/>
  <c r="G5" i="2" s="1"/>
  <c r="J35" i="4"/>
  <c r="J78" i="4" s="1"/>
  <c r="C90" i="4" s="1"/>
  <c r="J36" i="4"/>
  <c r="J79" i="4" s="1"/>
  <c r="C91" i="4" s="1"/>
  <c r="J38" i="4"/>
  <c r="J81" i="4" s="1"/>
  <c r="C93" i="4" s="1"/>
  <c r="J34" i="4"/>
  <c r="J77" i="4" s="1"/>
  <c r="C89" i="4" s="1"/>
  <c r="Q6" i="9"/>
  <c r="P4" i="13"/>
  <c r="P5" i="13" s="1"/>
  <c r="P14" i="9"/>
  <c r="N4" i="8"/>
  <c r="L1" i="13"/>
  <c r="N15" i="13"/>
  <c r="N24" i="3" s="1"/>
  <c r="M15" i="13"/>
  <c r="M24" i="3" s="1"/>
  <c r="L15" i="13"/>
  <c r="L24" i="3" s="1"/>
  <c r="K15" i="13"/>
  <c r="K24" i="3" s="1"/>
  <c r="J15" i="13"/>
  <c r="J24" i="3" s="1"/>
  <c r="Q15" i="13"/>
  <c r="Q24" i="3" s="1"/>
  <c r="I15" i="13"/>
  <c r="I24" i="3" s="1"/>
  <c r="P15" i="13"/>
  <c r="P24" i="3" s="1"/>
  <c r="H15" i="13"/>
  <c r="H24" i="3" s="1"/>
  <c r="O15" i="13"/>
  <c r="O24" i="3" s="1"/>
  <c r="E23" i="3"/>
  <c r="F15" i="13"/>
  <c r="E17" i="13"/>
  <c r="G15" i="13"/>
  <c r="G24" i="3" s="1"/>
  <c r="K12" i="8"/>
  <c r="L10" i="8" s="1"/>
  <c r="L11" i="8" s="1"/>
  <c r="L1" i="9"/>
  <c r="K1" i="8"/>
  <c r="L1" i="6"/>
  <c r="L1" i="5"/>
  <c r="L1" i="4"/>
  <c r="L1" i="7"/>
  <c r="L1" i="3"/>
  <c r="M1" i="2"/>
  <c r="L3" i="2"/>
  <c r="E18" i="8"/>
  <c r="N9" i="8"/>
  <c r="K3" i="9"/>
  <c r="K3" i="7"/>
  <c r="K3" i="6"/>
  <c r="K18" i="6" s="1"/>
  <c r="J3" i="8"/>
  <c r="J25" i="8" s="1"/>
  <c r="K3" i="5"/>
  <c r="K3" i="4"/>
  <c r="K3" i="3"/>
  <c r="E9" i="3"/>
  <c r="C7" i="47" s="1"/>
  <c r="C23" i="47" s="1"/>
  <c r="E9" i="2"/>
  <c r="C4" i="46" s="1"/>
  <c r="C17" i="46" s="1"/>
  <c r="G26" i="2" l="1"/>
  <c r="E3" i="46"/>
  <c r="E16" i="46" s="1"/>
  <c r="K42" i="6"/>
  <c r="K66" i="6"/>
  <c r="I62" i="4"/>
  <c r="I51" i="4"/>
  <c r="I7" i="4" s="1"/>
  <c r="J43" i="4"/>
  <c r="J54" i="4"/>
  <c r="J45" i="4"/>
  <c r="J56" i="4"/>
  <c r="J49" i="4"/>
  <c r="J60" i="4"/>
  <c r="J48" i="4"/>
  <c r="J59" i="4"/>
  <c r="J50" i="4"/>
  <c r="J61" i="4"/>
  <c r="J58" i="4"/>
  <c r="J47" i="4"/>
  <c r="J55" i="4"/>
  <c r="J44" i="4"/>
  <c r="J57" i="4"/>
  <c r="J46" i="4"/>
  <c r="H8" i="4"/>
  <c r="H21" i="5"/>
  <c r="H26" i="5" s="1"/>
  <c r="H12" i="5" s="1"/>
  <c r="H15" i="2" s="1"/>
  <c r="H16" i="2" s="1"/>
  <c r="K33" i="4"/>
  <c r="K76" i="4" s="1"/>
  <c r="D88" i="4" s="1"/>
  <c r="K37" i="4"/>
  <c r="K80" i="4" s="1"/>
  <c r="D92" i="4" s="1"/>
  <c r="J68" i="6"/>
  <c r="J44" i="6"/>
  <c r="J70" i="6"/>
  <c r="J46" i="6"/>
  <c r="J58" i="6"/>
  <c r="J34" i="6"/>
  <c r="J39" i="6"/>
  <c r="J63" i="6"/>
  <c r="J48" i="6"/>
  <c r="J72" i="6"/>
  <c r="J61" i="6"/>
  <c r="J37" i="6"/>
  <c r="J59" i="6"/>
  <c r="J35" i="6"/>
  <c r="J49" i="6"/>
  <c r="J73" i="6"/>
  <c r="J33" i="6"/>
  <c r="J57" i="6"/>
  <c r="J60" i="6"/>
  <c r="J36" i="6"/>
  <c r="J47" i="6"/>
  <c r="J71" i="6"/>
  <c r="J40" i="6"/>
  <c r="J64" i="6"/>
  <c r="J69" i="6"/>
  <c r="J45" i="6"/>
  <c r="J67" i="6"/>
  <c r="J43" i="6"/>
  <c r="J74" i="6"/>
  <c r="J50" i="6"/>
  <c r="J41" i="6"/>
  <c r="J65" i="6"/>
  <c r="H28" i="2"/>
  <c r="K32" i="4"/>
  <c r="K75" i="4" s="1"/>
  <c r="D87" i="4" s="1"/>
  <c r="K23" i="6"/>
  <c r="K12" i="6"/>
  <c r="K9" i="6"/>
  <c r="K17" i="6"/>
  <c r="K24" i="6"/>
  <c r="K13" i="6"/>
  <c r="K19" i="6"/>
  <c r="K15" i="6"/>
  <c r="K21" i="6"/>
  <c r="K25" i="6"/>
  <c r="K20" i="6"/>
  <c r="K16" i="6"/>
  <c r="K26" i="6"/>
  <c r="K11" i="6"/>
  <c r="K10" i="6"/>
  <c r="K22" i="6"/>
  <c r="I52" i="6"/>
  <c r="I27" i="2" s="1"/>
  <c r="I76" i="6"/>
  <c r="J28" i="6"/>
  <c r="K39" i="4"/>
  <c r="K82" i="4" s="1"/>
  <c r="D94" i="4" s="1"/>
  <c r="J40" i="4"/>
  <c r="J83" i="4" s="1"/>
  <c r="C95" i="4" s="1"/>
  <c r="G25" i="5"/>
  <c r="G11" i="5" s="1"/>
  <c r="G13" i="2" s="1"/>
  <c r="G26" i="5"/>
  <c r="G12" i="5" s="1"/>
  <c r="G15" i="2" s="1"/>
  <c r="G24" i="5"/>
  <c r="K35" i="4"/>
  <c r="K78" i="4" s="1"/>
  <c r="D90" i="4" s="1"/>
  <c r="K36" i="4"/>
  <c r="K79" i="4" s="1"/>
  <c r="D91" i="4" s="1"/>
  <c r="K38" i="4"/>
  <c r="K81" i="4" s="1"/>
  <c r="D93" i="4" s="1"/>
  <c r="K34" i="4"/>
  <c r="K77" i="4" s="1"/>
  <c r="D89" i="4" s="1"/>
  <c r="H26" i="2"/>
  <c r="H6" i="3"/>
  <c r="H30" i="2"/>
  <c r="O4" i="8"/>
  <c r="Q14" i="9"/>
  <c r="R6" i="9"/>
  <c r="Q4" i="13"/>
  <c r="Q5" i="13" s="1"/>
  <c r="M1" i="13"/>
  <c r="F24" i="3"/>
  <c r="T24" i="3"/>
  <c r="T22" i="3" s="1"/>
  <c r="R13" i="47" s="1"/>
  <c r="R29" i="47" s="1"/>
  <c r="F14" i="13"/>
  <c r="F17" i="13"/>
  <c r="G14" i="13" s="1"/>
  <c r="G40" i="2" s="1"/>
  <c r="E39" i="2"/>
  <c r="C10" i="46" s="1"/>
  <c r="C23" i="46" s="1"/>
  <c r="E25" i="3"/>
  <c r="L12" i="8"/>
  <c r="M10" i="8" s="1"/>
  <c r="M11" i="8" s="1"/>
  <c r="M1" i="9"/>
  <c r="M1" i="6"/>
  <c r="L1" i="8"/>
  <c r="M1" i="5"/>
  <c r="M1" i="4"/>
  <c r="M1" i="7"/>
  <c r="M1" i="3"/>
  <c r="M3" i="2"/>
  <c r="N1" i="2"/>
  <c r="O9" i="8"/>
  <c r="L3" i="9"/>
  <c r="K3" i="8"/>
  <c r="K25" i="8" s="1"/>
  <c r="L3" i="7"/>
  <c r="L3" i="5"/>
  <c r="L3" i="4"/>
  <c r="L3" i="6"/>
  <c r="L18" i="6" s="1"/>
  <c r="L3" i="3"/>
  <c r="F18" i="8"/>
  <c r="H5" i="3" l="1"/>
  <c r="F3" i="47" s="1"/>
  <c r="F19" i="47" s="1"/>
  <c r="F4" i="47"/>
  <c r="F20" i="47" s="1"/>
  <c r="L66" i="6"/>
  <c r="L42" i="6"/>
  <c r="J51" i="4"/>
  <c r="J62" i="4"/>
  <c r="K48" i="4"/>
  <c r="K59" i="4"/>
  <c r="K45" i="4"/>
  <c r="K56" i="4"/>
  <c r="K49" i="4"/>
  <c r="K60" i="4"/>
  <c r="K61" i="4"/>
  <c r="K50" i="4"/>
  <c r="K47" i="4"/>
  <c r="K58" i="4"/>
  <c r="K57" i="4"/>
  <c r="K46" i="4"/>
  <c r="K55" i="4"/>
  <c r="K44" i="4"/>
  <c r="K54" i="4"/>
  <c r="K43" i="4"/>
  <c r="H25" i="5"/>
  <c r="H11" i="5" s="1"/>
  <c r="H13" i="2" s="1"/>
  <c r="H14" i="2" s="1"/>
  <c r="H24" i="5"/>
  <c r="J7" i="4"/>
  <c r="J21" i="5" s="1"/>
  <c r="L33" i="4"/>
  <c r="L76" i="4" s="1"/>
  <c r="E88" i="4" s="1"/>
  <c r="L37" i="4"/>
  <c r="L80" i="4" s="1"/>
  <c r="E92" i="4" s="1"/>
  <c r="K74" i="6"/>
  <c r="K50" i="6"/>
  <c r="K39" i="6"/>
  <c r="K63" i="6"/>
  <c r="K67" i="6"/>
  <c r="K43" i="6"/>
  <c r="K73" i="6"/>
  <c r="K49" i="6"/>
  <c r="K37" i="6"/>
  <c r="K61" i="6"/>
  <c r="K48" i="6"/>
  <c r="K72" i="6"/>
  <c r="K68" i="6"/>
  <c r="K44" i="6"/>
  <c r="K65" i="6"/>
  <c r="K41" i="6"/>
  <c r="K40" i="6"/>
  <c r="K64" i="6"/>
  <c r="K60" i="6"/>
  <c r="K36" i="6"/>
  <c r="K57" i="6"/>
  <c r="K33" i="6"/>
  <c r="K47" i="6"/>
  <c r="K71" i="6"/>
  <c r="K69" i="6"/>
  <c r="K45" i="6"/>
  <c r="K46" i="6"/>
  <c r="K70" i="6"/>
  <c r="K58" i="6"/>
  <c r="K34" i="6"/>
  <c r="K59" i="6"/>
  <c r="K35" i="6"/>
  <c r="L32" i="4"/>
  <c r="L75" i="4" s="1"/>
  <c r="E87" i="4" s="1"/>
  <c r="L12" i="6"/>
  <c r="L23" i="6"/>
  <c r="L9" i="6"/>
  <c r="L10" i="6"/>
  <c r="L24" i="6"/>
  <c r="L13" i="6"/>
  <c r="L22" i="6"/>
  <c r="L19" i="6"/>
  <c r="L15" i="6"/>
  <c r="L25" i="6"/>
  <c r="L20" i="6"/>
  <c r="L16" i="6"/>
  <c r="L26" i="6"/>
  <c r="L21" i="6"/>
  <c r="L17" i="6"/>
  <c r="L11" i="6"/>
  <c r="J52" i="6"/>
  <c r="J27" i="2" s="1"/>
  <c r="J76" i="6"/>
  <c r="H24" i="2"/>
  <c r="K40" i="4"/>
  <c r="K83" i="4" s="1"/>
  <c r="D95" i="4" s="1"/>
  <c r="N1" i="7"/>
  <c r="K28" i="6"/>
  <c r="L39" i="4"/>
  <c r="L82" i="4" s="1"/>
  <c r="E94" i="4" s="1"/>
  <c r="G10" i="5"/>
  <c r="G23" i="5"/>
  <c r="L34" i="4"/>
  <c r="L77" i="4" s="1"/>
  <c r="E89" i="4" s="1"/>
  <c r="L35" i="4"/>
  <c r="L78" i="4" s="1"/>
  <c r="E90" i="4" s="1"/>
  <c r="L36" i="4"/>
  <c r="L79" i="4" s="1"/>
  <c r="E91" i="4" s="1"/>
  <c r="L38" i="4"/>
  <c r="L81" i="4" s="1"/>
  <c r="E93" i="4" s="1"/>
  <c r="I21" i="5"/>
  <c r="I8" i="4"/>
  <c r="I7" i="2"/>
  <c r="I5" i="2" s="1"/>
  <c r="G3" i="46" s="1"/>
  <c r="G16" i="46" s="1"/>
  <c r="C30" i="46" s="1"/>
  <c r="R14" i="9"/>
  <c r="P4" i="8"/>
  <c r="S6" i="9"/>
  <c r="R4" i="13"/>
  <c r="R5" i="13" s="1"/>
  <c r="N1" i="13"/>
  <c r="G17" i="13"/>
  <c r="H14" i="13" s="1"/>
  <c r="H40" i="2" s="1"/>
  <c r="G16" i="13"/>
  <c r="F40" i="2"/>
  <c r="F16" i="13"/>
  <c r="E22" i="3"/>
  <c r="C13" i="47" s="1"/>
  <c r="C29" i="47" s="1"/>
  <c r="M12" i="8"/>
  <c r="N10" i="8" s="1"/>
  <c r="N11" i="8" s="1"/>
  <c r="M3" i="9"/>
  <c r="M3" i="6"/>
  <c r="M18" i="6" s="1"/>
  <c r="L3" i="8"/>
  <c r="L25" i="8" s="1"/>
  <c r="M3" i="5"/>
  <c r="M3" i="4"/>
  <c r="M3" i="3"/>
  <c r="M3" i="7"/>
  <c r="N1" i="9"/>
  <c r="N1" i="6"/>
  <c r="M1" i="8"/>
  <c r="N1" i="5"/>
  <c r="N1" i="4"/>
  <c r="N1" i="3"/>
  <c r="N3" i="2"/>
  <c r="O1" i="2"/>
  <c r="P9" i="8"/>
  <c r="G18" i="8"/>
  <c r="H10" i="3" l="1"/>
  <c r="F8" i="47" s="1"/>
  <c r="F24" i="47" s="1"/>
  <c r="F6" i="46"/>
  <c r="F19" i="46" s="1"/>
  <c r="M66" i="6"/>
  <c r="M42" i="6"/>
  <c r="K51" i="4"/>
  <c r="K62" i="4"/>
  <c r="L54" i="4"/>
  <c r="L43" i="4"/>
  <c r="L47" i="4"/>
  <c r="L58" i="4"/>
  <c r="L59" i="4"/>
  <c r="L48" i="4"/>
  <c r="L57" i="4"/>
  <c r="L46" i="4"/>
  <c r="L44" i="4"/>
  <c r="L55" i="4"/>
  <c r="L45" i="4"/>
  <c r="L56" i="4"/>
  <c r="L49" i="4"/>
  <c r="L60" i="4"/>
  <c r="L61" i="4"/>
  <c r="L50" i="4"/>
  <c r="K7" i="4"/>
  <c r="K7" i="2" s="1"/>
  <c r="K5" i="2" s="1"/>
  <c r="H23" i="5"/>
  <c r="H10" i="5"/>
  <c r="H9" i="5" s="1"/>
  <c r="J7" i="2"/>
  <c r="J5" i="2" s="1"/>
  <c r="J8" i="4"/>
  <c r="M33" i="4"/>
  <c r="M76" i="4" s="1"/>
  <c r="F88" i="4" s="1"/>
  <c r="M37" i="4"/>
  <c r="M80" i="4" s="1"/>
  <c r="F92" i="4" s="1"/>
  <c r="L69" i="6"/>
  <c r="L45" i="6"/>
  <c r="L74" i="6"/>
  <c r="L50" i="6"/>
  <c r="L40" i="6"/>
  <c r="L64" i="6"/>
  <c r="L68" i="6"/>
  <c r="L44" i="6"/>
  <c r="L73" i="6"/>
  <c r="L49" i="6"/>
  <c r="L39" i="6"/>
  <c r="L63" i="6"/>
  <c r="L67" i="6"/>
  <c r="L43" i="6"/>
  <c r="L46" i="6"/>
  <c r="L70" i="6"/>
  <c r="L61" i="6"/>
  <c r="L37" i="6"/>
  <c r="L48" i="6"/>
  <c r="L72" i="6"/>
  <c r="L58" i="6"/>
  <c r="L34" i="6"/>
  <c r="L57" i="6"/>
  <c r="L33" i="6"/>
  <c r="L47" i="6"/>
  <c r="L71" i="6"/>
  <c r="L60" i="6"/>
  <c r="L36" i="6"/>
  <c r="L59" i="6"/>
  <c r="L35" i="6"/>
  <c r="L65" i="6"/>
  <c r="L41" i="6"/>
  <c r="J28" i="2"/>
  <c r="M32" i="4"/>
  <c r="M75" i="4" s="1"/>
  <c r="F87" i="4" s="1"/>
  <c r="M22" i="6"/>
  <c r="M9" i="6"/>
  <c r="M23" i="6"/>
  <c r="M12" i="6"/>
  <c r="M13" i="6"/>
  <c r="M11" i="6"/>
  <c r="M24" i="6"/>
  <c r="M19" i="6"/>
  <c r="M15" i="6"/>
  <c r="M10" i="6"/>
  <c r="M17" i="6"/>
  <c r="M25" i="6"/>
  <c r="M20" i="6"/>
  <c r="M16" i="6"/>
  <c r="M21" i="6"/>
  <c r="M26" i="6"/>
  <c r="K52" i="6"/>
  <c r="K27" i="2" s="1"/>
  <c r="K76" i="6"/>
  <c r="L28" i="6"/>
  <c r="M39" i="4"/>
  <c r="M82" i="4" s="1"/>
  <c r="F94" i="4" s="1"/>
  <c r="L40" i="4"/>
  <c r="L83" i="4" s="1"/>
  <c r="E95" i="4" s="1"/>
  <c r="I24" i="5"/>
  <c r="I25" i="5"/>
  <c r="I11" i="5" s="1"/>
  <c r="I13" i="2" s="1"/>
  <c r="I14" i="2" s="1"/>
  <c r="I26" i="5"/>
  <c r="I12" i="5" s="1"/>
  <c r="I15" i="2" s="1"/>
  <c r="I16" i="2" s="1"/>
  <c r="I26" i="2"/>
  <c r="I30" i="2"/>
  <c r="I6" i="3"/>
  <c r="M34" i="4"/>
  <c r="M77" i="4" s="1"/>
  <c r="F89" i="4" s="1"/>
  <c r="M35" i="4"/>
  <c r="M78" i="4" s="1"/>
  <c r="F90" i="4" s="1"/>
  <c r="M36" i="4"/>
  <c r="M79" i="4" s="1"/>
  <c r="F91" i="4" s="1"/>
  <c r="M38" i="4"/>
  <c r="M81" i="4" s="1"/>
  <c r="F93" i="4" s="1"/>
  <c r="G9" i="5"/>
  <c r="G11" i="2"/>
  <c r="G10" i="2" s="1"/>
  <c r="O1" i="13"/>
  <c r="Q4" i="8"/>
  <c r="S14" i="9"/>
  <c r="T6" i="9"/>
  <c r="S4" i="13"/>
  <c r="S5" i="13" s="1"/>
  <c r="H17" i="13"/>
  <c r="I14" i="13" s="1"/>
  <c r="I40" i="2" s="1"/>
  <c r="G6" i="3"/>
  <c r="G30" i="2"/>
  <c r="G24" i="2" s="1"/>
  <c r="E6" i="46" s="1"/>
  <c r="E19" i="46" s="1"/>
  <c r="G16" i="2"/>
  <c r="G14" i="2"/>
  <c r="D8" i="2"/>
  <c r="H16" i="13"/>
  <c r="F39" i="2"/>
  <c r="D10" i="46" s="1"/>
  <c r="D23" i="46" s="1"/>
  <c r="F25" i="3"/>
  <c r="G39" i="2"/>
  <c r="E10" i="46" s="1"/>
  <c r="E23" i="46" s="1"/>
  <c r="G25" i="3"/>
  <c r="G22" i="3" s="1"/>
  <c r="E13" i="47" s="1"/>
  <c r="E29" i="47" s="1"/>
  <c r="N12" i="8"/>
  <c r="O10" i="8" s="1"/>
  <c r="O11" i="8" s="1"/>
  <c r="O1" i="9"/>
  <c r="N1" i="8"/>
  <c r="O1" i="7"/>
  <c r="O1" i="6"/>
  <c r="O1" i="5"/>
  <c r="O1" i="3"/>
  <c r="O3" i="2"/>
  <c r="P1" i="2"/>
  <c r="O1" i="4"/>
  <c r="N3" i="9"/>
  <c r="N3" i="6"/>
  <c r="N18" i="6" s="1"/>
  <c r="M3" i="8"/>
  <c r="M25" i="8" s="1"/>
  <c r="N3" i="7"/>
  <c r="N3" i="5"/>
  <c r="N3" i="4"/>
  <c r="N3" i="3"/>
  <c r="Q9" i="8"/>
  <c r="I5" i="3" l="1"/>
  <c r="G3" i="47" s="1"/>
  <c r="G19" i="47" s="1"/>
  <c r="C35" i="47" s="1"/>
  <c r="G4" i="47"/>
  <c r="G20" i="47" s="1"/>
  <c r="C36" i="47" s="1"/>
  <c r="J26" i="2"/>
  <c r="H3" i="46"/>
  <c r="H16" i="46" s="1"/>
  <c r="G5" i="3"/>
  <c r="E3" i="47" s="1"/>
  <c r="E19" i="47" s="1"/>
  <c r="E4" i="47"/>
  <c r="E20" i="47" s="1"/>
  <c r="K26" i="2"/>
  <c r="I3" i="46"/>
  <c r="I16" i="46" s="1"/>
  <c r="N42" i="6"/>
  <c r="N66" i="6"/>
  <c r="L51" i="4"/>
  <c r="H11" i="2"/>
  <c r="H12" i="2" s="1"/>
  <c r="L62" i="4"/>
  <c r="M49" i="4"/>
  <c r="M60" i="4"/>
  <c r="M44" i="4"/>
  <c r="M55" i="4"/>
  <c r="M56" i="4"/>
  <c r="M45" i="4"/>
  <c r="M54" i="4"/>
  <c r="M43" i="4"/>
  <c r="M57" i="4"/>
  <c r="M46" i="4"/>
  <c r="M47" i="4"/>
  <c r="M58" i="4"/>
  <c r="M61" i="4"/>
  <c r="M50" i="4"/>
  <c r="M59" i="4"/>
  <c r="M48" i="4"/>
  <c r="L7" i="4"/>
  <c r="L7" i="2" s="1"/>
  <c r="L5" i="2" s="1"/>
  <c r="J3" i="46" s="1"/>
  <c r="J16" i="46" s="1"/>
  <c r="N33" i="4"/>
  <c r="N76" i="4" s="1"/>
  <c r="G88" i="4" s="1"/>
  <c r="N37" i="4"/>
  <c r="N80" i="4" s="1"/>
  <c r="G92" i="4" s="1"/>
  <c r="K28" i="2"/>
  <c r="M72" i="6"/>
  <c r="M48" i="6"/>
  <c r="M59" i="6"/>
  <c r="M35" i="6"/>
  <c r="M73" i="6"/>
  <c r="M49" i="6"/>
  <c r="M37" i="6"/>
  <c r="M61" i="6"/>
  <c r="M58" i="6"/>
  <c r="M34" i="6"/>
  <c r="M39" i="6"/>
  <c r="M63" i="6"/>
  <c r="M67" i="6"/>
  <c r="M43" i="6"/>
  <c r="M60" i="6"/>
  <c r="M36" i="6"/>
  <c r="M47" i="6"/>
  <c r="M71" i="6"/>
  <c r="M57" i="6"/>
  <c r="M33" i="6"/>
  <c r="M46" i="6"/>
  <c r="M70" i="6"/>
  <c r="M74" i="6"/>
  <c r="M50" i="6"/>
  <c r="M45" i="6"/>
  <c r="M69" i="6"/>
  <c r="M41" i="6"/>
  <c r="M65" i="6"/>
  <c r="M64" i="6"/>
  <c r="M40" i="6"/>
  <c r="M44" i="6"/>
  <c r="M68" i="6"/>
  <c r="K21" i="5"/>
  <c r="K25" i="5" s="1"/>
  <c r="K11" i="5" s="1"/>
  <c r="K13" i="2" s="1"/>
  <c r="K14" i="2" s="1"/>
  <c r="K8" i="4"/>
  <c r="F22" i="3"/>
  <c r="D13" i="47" s="1"/>
  <c r="D29" i="47" s="1"/>
  <c r="N32" i="4"/>
  <c r="N75" i="4" s="1"/>
  <c r="G87" i="4" s="1"/>
  <c r="N11" i="6"/>
  <c r="N26" i="6"/>
  <c r="N22" i="6"/>
  <c r="N23" i="6"/>
  <c r="N12" i="6"/>
  <c r="N9" i="6"/>
  <c r="N16" i="6"/>
  <c r="N24" i="6"/>
  <c r="N13" i="6"/>
  <c r="N19" i="6"/>
  <c r="N15" i="6"/>
  <c r="N20" i="6"/>
  <c r="N25" i="6"/>
  <c r="N21" i="6"/>
  <c r="N17" i="6"/>
  <c r="N10" i="6"/>
  <c r="L52" i="6"/>
  <c r="L27" i="2" s="1"/>
  <c r="L76" i="6"/>
  <c r="K30" i="2"/>
  <c r="K6" i="3"/>
  <c r="M28" i="6"/>
  <c r="N39" i="4"/>
  <c r="N82" i="4" s="1"/>
  <c r="G94" i="4" s="1"/>
  <c r="M40" i="4"/>
  <c r="M83" i="4" s="1"/>
  <c r="F95" i="4" s="1"/>
  <c r="I10" i="5"/>
  <c r="I23" i="5"/>
  <c r="G9" i="2"/>
  <c r="G9" i="3"/>
  <c r="E7" i="47" s="1"/>
  <c r="E23" i="47" s="1"/>
  <c r="N34" i="4"/>
  <c r="N77" i="4" s="1"/>
  <c r="G89" i="4" s="1"/>
  <c r="N35" i="4"/>
  <c r="N78" i="4" s="1"/>
  <c r="G90" i="4" s="1"/>
  <c r="N36" i="4"/>
  <c r="N79" i="4" s="1"/>
  <c r="G91" i="4" s="1"/>
  <c r="N38" i="4"/>
  <c r="N81" i="4" s="1"/>
  <c r="G93" i="4" s="1"/>
  <c r="G12" i="2"/>
  <c r="P1" i="13"/>
  <c r="U6" i="9"/>
  <c r="T4" i="13"/>
  <c r="T5" i="13" s="1"/>
  <c r="T14" i="9"/>
  <c r="R4" i="8"/>
  <c r="I16" i="13"/>
  <c r="H39" i="2"/>
  <c r="F10" i="46" s="1"/>
  <c r="F23" i="46" s="1"/>
  <c r="H25" i="3"/>
  <c r="H22" i="3" s="1"/>
  <c r="F13" i="47" s="1"/>
  <c r="F29" i="47" s="1"/>
  <c r="O12" i="8"/>
  <c r="P10" i="8" s="1"/>
  <c r="P11" i="8" s="1"/>
  <c r="R9" i="8"/>
  <c r="P1" i="9"/>
  <c r="O1" i="8"/>
  <c r="P1" i="7"/>
  <c r="P1" i="6"/>
  <c r="P1" i="3"/>
  <c r="P1" i="5"/>
  <c r="P3" i="2"/>
  <c r="Q1" i="2"/>
  <c r="P1" i="4"/>
  <c r="O3" i="9"/>
  <c r="N3" i="8"/>
  <c r="N25" i="8" s="1"/>
  <c r="O3" i="7"/>
  <c r="O3" i="3"/>
  <c r="O3" i="6"/>
  <c r="O18" i="6" s="1"/>
  <c r="O3" i="5"/>
  <c r="O3" i="4"/>
  <c r="K5" i="3" l="1"/>
  <c r="I3" i="47" s="1"/>
  <c r="I19" i="47" s="1"/>
  <c r="I4" i="47"/>
  <c r="I20" i="47" s="1"/>
  <c r="G20" i="2"/>
  <c r="G32" i="2" s="1"/>
  <c r="E4" i="46"/>
  <c r="E17" i="46" s="1"/>
  <c r="H10" i="2"/>
  <c r="H9" i="3" s="1"/>
  <c r="F7" i="47" s="1"/>
  <c r="F23" i="47" s="1"/>
  <c r="O42" i="6"/>
  <c r="O66" i="6"/>
  <c r="M62" i="4"/>
  <c r="M51" i="4"/>
  <c r="N59" i="4"/>
  <c r="N48" i="4"/>
  <c r="N46" i="4"/>
  <c r="N57" i="4"/>
  <c r="N44" i="4"/>
  <c r="N55" i="4"/>
  <c r="N60" i="4"/>
  <c r="N49" i="4"/>
  <c r="N61" i="4"/>
  <c r="N50" i="4"/>
  <c r="N54" i="4"/>
  <c r="N43" i="4"/>
  <c r="N47" i="4"/>
  <c r="N58" i="4"/>
  <c r="N56" i="4"/>
  <c r="N45" i="4"/>
  <c r="L8" i="4"/>
  <c r="L21" i="5"/>
  <c r="L24" i="5" s="1"/>
  <c r="M7" i="4"/>
  <c r="O33" i="4"/>
  <c r="O76" i="4" s="1"/>
  <c r="O37" i="4"/>
  <c r="O80" i="4" s="1"/>
  <c r="K24" i="5"/>
  <c r="K10" i="5" s="1"/>
  <c r="L28" i="2"/>
  <c r="K24" i="2"/>
  <c r="N57" i="6"/>
  <c r="N33" i="6"/>
  <c r="N60" i="6"/>
  <c r="N36" i="6"/>
  <c r="N47" i="6"/>
  <c r="N71" i="6"/>
  <c r="N46" i="6"/>
  <c r="N70" i="6"/>
  <c r="N37" i="6"/>
  <c r="N61" i="6"/>
  <c r="N74" i="6"/>
  <c r="N50" i="6"/>
  <c r="N67" i="6"/>
  <c r="N43" i="6"/>
  <c r="N72" i="6"/>
  <c r="N48" i="6"/>
  <c r="N59" i="6"/>
  <c r="N35" i="6"/>
  <c r="N58" i="6"/>
  <c r="N34" i="6"/>
  <c r="N64" i="6"/>
  <c r="N40" i="6"/>
  <c r="N65" i="6"/>
  <c r="N41" i="6"/>
  <c r="N39" i="6"/>
  <c r="N63" i="6"/>
  <c r="K26" i="5"/>
  <c r="K12" i="5" s="1"/>
  <c r="K15" i="2" s="1"/>
  <c r="K16" i="2" s="1"/>
  <c r="N45" i="6"/>
  <c r="N69" i="6"/>
  <c r="N73" i="6"/>
  <c r="N49" i="6"/>
  <c r="N68" i="6"/>
  <c r="N44" i="6"/>
  <c r="O32" i="4"/>
  <c r="O75" i="4" s="1"/>
  <c r="O22" i="6"/>
  <c r="O11" i="6"/>
  <c r="O10" i="6"/>
  <c r="O23" i="6"/>
  <c r="O12" i="6"/>
  <c r="O9" i="6"/>
  <c r="O17" i="6"/>
  <c r="O24" i="6"/>
  <c r="O13" i="6"/>
  <c r="O25" i="6"/>
  <c r="O19" i="6"/>
  <c r="O15" i="6"/>
  <c r="O21" i="6"/>
  <c r="O20" i="6"/>
  <c r="O16" i="6"/>
  <c r="O26" i="6"/>
  <c r="M52" i="6"/>
  <c r="M27" i="2" s="1"/>
  <c r="M76" i="6"/>
  <c r="N28" i="6"/>
  <c r="O39" i="4"/>
  <c r="O82" i="4" s="1"/>
  <c r="N40" i="4"/>
  <c r="N83" i="4" s="1"/>
  <c r="G95" i="4" s="1"/>
  <c r="I11" i="2"/>
  <c r="I9" i="5"/>
  <c r="L26" i="2"/>
  <c r="L6" i="3"/>
  <c r="L30" i="2"/>
  <c r="O38" i="4"/>
  <c r="O81" i="4" s="1"/>
  <c r="O34" i="4"/>
  <c r="O77" i="4" s="1"/>
  <c r="O35" i="4"/>
  <c r="O78" i="4" s="1"/>
  <c r="O36" i="4"/>
  <c r="O79" i="4" s="1"/>
  <c r="Q1" i="13"/>
  <c r="G10" i="3"/>
  <c r="E8" i="47" s="1"/>
  <c r="E24" i="47" s="1"/>
  <c r="U14" i="9"/>
  <c r="S4" i="8"/>
  <c r="V6" i="9"/>
  <c r="U4" i="13"/>
  <c r="U5" i="13" s="1"/>
  <c r="I39" i="2"/>
  <c r="G10" i="46" s="1"/>
  <c r="G23" i="46" s="1"/>
  <c r="C37" i="46" s="1"/>
  <c r="I25" i="3"/>
  <c r="P12" i="8"/>
  <c r="Q10" i="8" s="1"/>
  <c r="Q11" i="8" s="1"/>
  <c r="Q1" i="9"/>
  <c r="Q1" i="7"/>
  <c r="P1" i="8"/>
  <c r="Q1" i="3"/>
  <c r="Q1" i="5"/>
  <c r="Q1" i="4"/>
  <c r="Q1" i="6"/>
  <c r="Q3" i="2"/>
  <c r="R1" i="2"/>
  <c r="P3" i="9"/>
  <c r="O3" i="8"/>
  <c r="O25" i="8" s="1"/>
  <c r="P3" i="7"/>
  <c r="P3" i="3"/>
  <c r="P3" i="6"/>
  <c r="P18" i="6" s="1"/>
  <c r="P3" i="5"/>
  <c r="P3" i="4"/>
  <c r="S9" i="8"/>
  <c r="L5" i="3" l="1"/>
  <c r="J3" i="47" s="1"/>
  <c r="J19" i="47" s="1"/>
  <c r="J4" i="47"/>
  <c r="J20" i="47" s="1"/>
  <c r="K10" i="3"/>
  <c r="I8" i="47" s="1"/>
  <c r="I24" i="47" s="1"/>
  <c r="I6" i="46"/>
  <c r="I19" i="46" s="1"/>
  <c r="G21" i="2"/>
  <c r="E5" i="46"/>
  <c r="E18" i="46" s="1"/>
  <c r="H9" i="2"/>
  <c r="G33" i="2"/>
  <c r="E7" i="46"/>
  <c r="E20" i="46" s="1"/>
  <c r="P42" i="6"/>
  <c r="P66" i="6"/>
  <c r="L25" i="5"/>
  <c r="L11" i="5" s="1"/>
  <c r="L13" i="2" s="1"/>
  <c r="L14" i="2" s="1"/>
  <c r="N51" i="4"/>
  <c r="L26" i="5"/>
  <c r="L12" i="5" s="1"/>
  <c r="L15" i="2" s="1"/>
  <c r="L16" i="2" s="1"/>
  <c r="N62" i="4"/>
  <c r="O60" i="4"/>
  <c r="O49" i="4"/>
  <c r="O59" i="4"/>
  <c r="O48" i="4"/>
  <c r="O56" i="4"/>
  <c r="O45" i="4"/>
  <c r="O44" i="4"/>
  <c r="O55" i="4"/>
  <c r="O43" i="4"/>
  <c r="O54" i="4"/>
  <c r="O58" i="4"/>
  <c r="O47" i="4"/>
  <c r="O46" i="4"/>
  <c r="O57" i="4"/>
  <c r="O50" i="4"/>
  <c r="O61" i="4"/>
  <c r="N7" i="4"/>
  <c r="N21" i="5" s="1"/>
  <c r="P33" i="4"/>
  <c r="P76" i="4" s="1"/>
  <c r="P37" i="4"/>
  <c r="P80" i="4" s="1"/>
  <c r="O48" i="6"/>
  <c r="O72" i="6"/>
  <c r="O71" i="6"/>
  <c r="O47" i="6"/>
  <c r="O37" i="6"/>
  <c r="O61" i="6"/>
  <c r="O58" i="6"/>
  <c r="O34" i="6"/>
  <c r="O73" i="6"/>
  <c r="O49" i="6"/>
  <c r="O59" i="6"/>
  <c r="O35" i="6"/>
  <c r="O67" i="6"/>
  <c r="O43" i="6"/>
  <c r="O65" i="6"/>
  <c r="O41" i="6"/>
  <c r="O57" i="6"/>
  <c r="O33" i="6"/>
  <c r="O46" i="6"/>
  <c r="O70" i="6"/>
  <c r="O63" i="6"/>
  <c r="O39" i="6"/>
  <c r="O74" i="6"/>
  <c r="O50" i="6"/>
  <c r="O36" i="6"/>
  <c r="O60" i="6"/>
  <c r="O64" i="6"/>
  <c r="O40" i="6"/>
  <c r="O44" i="6"/>
  <c r="O68" i="6"/>
  <c r="K23" i="5"/>
  <c r="O45" i="6"/>
  <c r="O69" i="6"/>
  <c r="M28" i="2"/>
  <c r="P32" i="4"/>
  <c r="P75" i="4" s="1"/>
  <c r="P21" i="6"/>
  <c r="P17" i="6"/>
  <c r="P10" i="6"/>
  <c r="P11" i="6"/>
  <c r="P15" i="6"/>
  <c r="P20" i="6"/>
  <c r="P22" i="6"/>
  <c r="P12" i="6"/>
  <c r="P23" i="6"/>
  <c r="P9" i="6"/>
  <c r="P24" i="6"/>
  <c r="P13" i="6"/>
  <c r="P19" i="6"/>
  <c r="P16" i="6"/>
  <c r="P25" i="6"/>
  <c r="P26" i="6"/>
  <c r="N76" i="6"/>
  <c r="N52" i="6"/>
  <c r="N27" i="2" s="1"/>
  <c r="L24" i="2"/>
  <c r="O28" i="6"/>
  <c r="O40" i="4"/>
  <c r="O83" i="4" s="1"/>
  <c r="P39" i="4"/>
  <c r="P82" i="4" s="1"/>
  <c r="G21" i="13"/>
  <c r="P36" i="4"/>
  <c r="P79" i="4" s="1"/>
  <c r="P38" i="4"/>
  <c r="P81" i="4" s="1"/>
  <c r="P34" i="4"/>
  <c r="P77" i="4" s="1"/>
  <c r="P35" i="4"/>
  <c r="P78" i="4" s="1"/>
  <c r="K9" i="5"/>
  <c r="K11" i="2"/>
  <c r="L10" i="5"/>
  <c r="I12" i="2"/>
  <c r="I10" i="2"/>
  <c r="M21" i="5"/>
  <c r="M8" i="4"/>
  <c r="M7" i="2"/>
  <c r="M5" i="2" s="1"/>
  <c r="K3" i="46" s="1"/>
  <c r="K16" i="46" s="1"/>
  <c r="R1" i="13"/>
  <c r="W6" i="9"/>
  <c r="V4" i="13"/>
  <c r="V5" i="13" s="1"/>
  <c r="V14" i="9"/>
  <c r="T4" i="8"/>
  <c r="Q12" i="8"/>
  <c r="R10" i="8" s="1"/>
  <c r="R11" i="8" s="1"/>
  <c r="R1" i="9"/>
  <c r="R1" i="7"/>
  <c r="R1" i="6"/>
  <c r="R1" i="5"/>
  <c r="R1" i="4"/>
  <c r="Q1" i="8"/>
  <c r="R1" i="3"/>
  <c r="S1" i="2"/>
  <c r="R3" i="2"/>
  <c r="Q3" i="9"/>
  <c r="Q3" i="7"/>
  <c r="Q3" i="3"/>
  <c r="Q3" i="6"/>
  <c r="Q18" i="6" s="1"/>
  <c r="P3" i="8"/>
  <c r="P25" i="8" s="1"/>
  <c r="Q3" i="5"/>
  <c r="Q3" i="4"/>
  <c r="T9" i="8"/>
  <c r="H20" i="2" l="1"/>
  <c r="F4" i="46"/>
  <c r="F17" i="46" s="1"/>
  <c r="L10" i="3"/>
  <c r="J8" i="47" s="1"/>
  <c r="J24" i="47" s="1"/>
  <c r="J6" i="46"/>
  <c r="J19" i="46" s="1"/>
  <c r="Q42" i="6"/>
  <c r="Q66" i="6"/>
  <c r="L23" i="5"/>
  <c r="O51" i="4"/>
  <c r="O62" i="4"/>
  <c r="N7" i="2"/>
  <c r="N5" i="2" s="1"/>
  <c r="N8" i="4"/>
  <c r="P43" i="4"/>
  <c r="P54" i="4"/>
  <c r="P46" i="4"/>
  <c r="P57" i="4"/>
  <c r="P48" i="4"/>
  <c r="P59" i="4"/>
  <c r="P55" i="4"/>
  <c r="P44" i="4"/>
  <c r="P50" i="4"/>
  <c r="P61" i="4"/>
  <c r="P56" i="4"/>
  <c r="P45" i="4"/>
  <c r="P60" i="4"/>
  <c r="P49" i="4"/>
  <c r="P58" i="4"/>
  <c r="P47" i="4"/>
  <c r="O7" i="4"/>
  <c r="O21" i="5" s="1"/>
  <c r="Q33" i="4"/>
  <c r="Q76" i="4" s="1"/>
  <c r="Q37" i="4"/>
  <c r="Q80" i="4" s="1"/>
  <c r="P71" i="6"/>
  <c r="P47" i="6"/>
  <c r="P36" i="6"/>
  <c r="P60" i="6"/>
  <c r="P57" i="6"/>
  <c r="P33" i="6"/>
  <c r="P44" i="6"/>
  <c r="P68" i="6"/>
  <c r="P63" i="6"/>
  <c r="P39" i="6"/>
  <c r="P59" i="6"/>
  <c r="P35" i="6"/>
  <c r="P46" i="6"/>
  <c r="P70" i="6"/>
  <c r="P58" i="6"/>
  <c r="P34" i="6"/>
  <c r="P37" i="6"/>
  <c r="P61" i="6"/>
  <c r="P72" i="6"/>
  <c r="P48" i="6"/>
  <c r="P65" i="6"/>
  <c r="P41" i="6"/>
  <c r="P45" i="6"/>
  <c r="P69" i="6"/>
  <c r="P74" i="6"/>
  <c r="P50" i="6"/>
  <c r="P73" i="6"/>
  <c r="P49" i="6"/>
  <c r="P64" i="6"/>
  <c r="P40" i="6"/>
  <c r="P67" i="6"/>
  <c r="P43" i="6"/>
  <c r="N28" i="2"/>
  <c r="Q32" i="4"/>
  <c r="Q75" i="4" s="1"/>
  <c r="Q26" i="6"/>
  <c r="Q21" i="6"/>
  <c r="Q17" i="6"/>
  <c r="Q10" i="6"/>
  <c r="Q11" i="6"/>
  <c r="Q22" i="6"/>
  <c r="Q15" i="6"/>
  <c r="Q25" i="6"/>
  <c r="Q23" i="6"/>
  <c r="Q12" i="6"/>
  <c r="Q9" i="6"/>
  <c r="Q24" i="6"/>
  <c r="Q13" i="6"/>
  <c r="Q19" i="6"/>
  <c r="Q20" i="6"/>
  <c r="Q16" i="6"/>
  <c r="O52" i="6"/>
  <c r="O27" i="2" s="1"/>
  <c r="O76" i="6"/>
  <c r="P28" i="6"/>
  <c r="Q39" i="4"/>
  <c r="Q82" i="4" s="1"/>
  <c r="P40" i="4"/>
  <c r="P83" i="4" s="1"/>
  <c r="M26" i="2"/>
  <c r="M6" i="3"/>
  <c r="M30" i="2"/>
  <c r="M24" i="5"/>
  <c r="M25" i="5"/>
  <c r="M11" i="5" s="1"/>
  <c r="M13" i="2" s="1"/>
  <c r="M14" i="2" s="1"/>
  <c r="M26" i="5"/>
  <c r="M12" i="5" s="1"/>
  <c r="M15" i="2" s="1"/>
  <c r="M16" i="2" s="1"/>
  <c r="K10" i="2"/>
  <c r="K12" i="2"/>
  <c r="I9" i="3"/>
  <c r="G7" i="47" s="1"/>
  <c r="G23" i="47" s="1"/>
  <c r="C39" i="47" s="1"/>
  <c r="I9" i="2"/>
  <c r="L11" i="2"/>
  <c r="L9" i="5"/>
  <c r="Q38" i="4"/>
  <c r="Q81" i="4" s="1"/>
  <c r="Q36" i="4"/>
  <c r="Q79" i="4" s="1"/>
  <c r="Q34" i="4"/>
  <c r="Q77" i="4" s="1"/>
  <c r="Q35" i="4"/>
  <c r="Q78" i="4" s="1"/>
  <c r="N26" i="5"/>
  <c r="N12" i="5" s="1"/>
  <c r="N15" i="2" s="1"/>
  <c r="N24" i="5"/>
  <c r="N25" i="5"/>
  <c r="N11" i="5" s="1"/>
  <c r="N13" i="2" s="1"/>
  <c r="S1" i="13"/>
  <c r="W14" i="9"/>
  <c r="U4" i="8"/>
  <c r="X6" i="9"/>
  <c r="W4" i="13"/>
  <c r="W5" i="13" s="1"/>
  <c r="R12" i="8"/>
  <c r="S10" i="8" s="1"/>
  <c r="S11" i="8" s="1"/>
  <c r="R3" i="9"/>
  <c r="R3" i="7"/>
  <c r="R3" i="6"/>
  <c r="R18" i="6" s="1"/>
  <c r="Q3" i="8"/>
  <c r="Q25" i="8" s="1"/>
  <c r="R3" i="5"/>
  <c r="R3" i="4"/>
  <c r="R3" i="3"/>
  <c r="S1" i="9"/>
  <c r="S1" i="7"/>
  <c r="S1" i="6"/>
  <c r="R1" i="8"/>
  <c r="S1" i="5"/>
  <c r="S1" i="4"/>
  <c r="S1" i="3"/>
  <c r="T1" i="2"/>
  <c r="S3" i="2"/>
  <c r="U9" i="8"/>
  <c r="M5" i="3" l="1"/>
  <c r="K3" i="47" s="1"/>
  <c r="K19" i="47" s="1"/>
  <c r="K4" i="47"/>
  <c r="K20" i="47" s="1"/>
  <c r="N30" i="2"/>
  <c r="L3" i="46"/>
  <c r="L16" i="46" s="1"/>
  <c r="D30" i="46" s="1"/>
  <c r="I20" i="2"/>
  <c r="G5" i="46" s="1"/>
  <c r="G18" i="46" s="1"/>
  <c r="C32" i="46" s="1"/>
  <c r="G4" i="46"/>
  <c r="G17" i="46" s="1"/>
  <c r="C31" i="46" s="1"/>
  <c r="H21" i="2"/>
  <c r="F5" i="46"/>
  <c r="F18" i="46" s="1"/>
  <c r="H32" i="2"/>
  <c r="R42" i="6"/>
  <c r="R66" i="6"/>
  <c r="N16" i="2"/>
  <c r="N6" i="3"/>
  <c r="N26" i="2"/>
  <c r="N14" i="2"/>
  <c r="P62" i="4"/>
  <c r="P51" i="4"/>
  <c r="P7" i="4" s="1"/>
  <c r="P8" i="4" s="1"/>
  <c r="Q43" i="4"/>
  <c r="Q54" i="4"/>
  <c r="Q46" i="4"/>
  <c r="Q57" i="4"/>
  <c r="Q48" i="4"/>
  <c r="Q59" i="4"/>
  <c r="Q50" i="4"/>
  <c r="Q61" i="4"/>
  <c r="Q55" i="4"/>
  <c r="Q44" i="4"/>
  <c r="Q45" i="4"/>
  <c r="Q56" i="4"/>
  <c r="Q58" i="4"/>
  <c r="Q47" i="4"/>
  <c r="Q60" i="4"/>
  <c r="Q49" i="4"/>
  <c r="O7" i="2"/>
  <c r="O5" i="2" s="1"/>
  <c r="O8" i="4"/>
  <c r="R33" i="4"/>
  <c r="R76" i="4" s="1"/>
  <c r="R37" i="4"/>
  <c r="R80" i="4" s="1"/>
  <c r="Q47" i="6"/>
  <c r="Q71" i="6"/>
  <c r="Q63" i="6"/>
  <c r="Q39" i="6"/>
  <c r="Q70" i="6"/>
  <c r="Q46" i="6"/>
  <c r="Q37" i="6"/>
  <c r="Q61" i="6"/>
  <c r="Q35" i="6"/>
  <c r="Q59" i="6"/>
  <c r="Q72" i="6"/>
  <c r="Q48" i="6"/>
  <c r="Q34" i="6"/>
  <c r="Q58" i="6"/>
  <c r="Q65" i="6"/>
  <c r="Q41" i="6"/>
  <c r="Q45" i="6"/>
  <c r="Q69" i="6"/>
  <c r="Q50" i="6"/>
  <c r="Q74" i="6"/>
  <c r="Q64" i="6"/>
  <c r="Q40" i="6"/>
  <c r="Q57" i="6"/>
  <c r="Q33" i="6"/>
  <c r="Q36" i="6"/>
  <c r="Q60" i="6"/>
  <c r="Q73" i="6"/>
  <c r="Q49" i="6"/>
  <c r="Q44" i="6"/>
  <c r="Q68" i="6"/>
  <c r="Q43" i="6"/>
  <c r="Q67" i="6"/>
  <c r="O28" i="2"/>
  <c r="R32" i="4"/>
  <c r="R75" i="4" s="1"/>
  <c r="R13" i="6"/>
  <c r="R20" i="6"/>
  <c r="R26" i="6"/>
  <c r="R21" i="6"/>
  <c r="R17" i="6"/>
  <c r="R10" i="6"/>
  <c r="R24" i="6"/>
  <c r="R11" i="6"/>
  <c r="R22" i="6"/>
  <c r="R23" i="6"/>
  <c r="R12" i="6"/>
  <c r="R9" i="6"/>
  <c r="R16" i="6"/>
  <c r="R19" i="6"/>
  <c r="R15" i="6"/>
  <c r="R25" i="6"/>
  <c r="P76" i="6"/>
  <c r="P52" i="6"/>
  <c r="M24" i="2"/>
  <c r="Q40" i="4"/>
  <c r="Q83" i="4" s="1"/>
  <c r="Q28" i="6"/>
  <c r="R39" i="4"/>
  <c r="R82" i="4" s="1"/>
  <c r="L10" i="2"/>
  <c r="L12" i="2"/>
  <c r="R35" i="4"/>
  <c r="R78" i="4" s="1"/>
  <c r="R36" i="4"/>
  <c r="R79" i="4" s="1"/>
  <c r="R38" i="4"/>
  <c r="R81" i="4" s="1"/>
  <c r="R34" i="4"/>
  <c r="R77" i="4" s="1"/>
  <c r="O24" i="5"/>
  <c r="O25" i="5"/>
  <c r="O11" i="5" s="1"/>
  <c r="O13" i="2" s="1"/>
  <c r="O26" i="5"/>
  <c r="O12" i="5" s="1"/>
  <c r="O15" i="2" s="1"/>
  <c r="N10" i="5"/>
  <c r="N23" i="5"/>
  <c r="M10" i="5"/>
  <c r="M23" i="5"/>
  <c r="K9" i="3"/>
  <c r="I7" i="47" s="1"/>
  <c r="I23" i="47" s="1"/>
  <c r="K9" i="2"/>
  <c r="T1" i="13"/>
  <c r="Y6" i="9"/>
  <c r="X4" i="13"/>
  <c r="X5" i="13" s="1"/>
  <c r="X14" i="9"/>
  <c r="V4" i="8"/>
  <c r="S12" i="8"/>
  <c r="T10" i="8" s="1"/>
  <c r="T11" i="8" s="1"/>
  <c r="V9" i="8"/>
  <c r="S3" i="9"/>
  <c r="S3" i="7"/>
  <c r="S3" i="6"/>
  <c r="S18" i="6" s="1"/>
  <c r="R3" i="8"/>
  <c r="R25" i="8" s="1"/>
  <c r="S3" i="5"/>
  <c r="S3" i="4"/>
  <c r="S3" i="3"/>
  <c r="T1" i="9"/>
  <c r="S1" i="8"/>
  <c r="T1" i="5"/>
  <c r="T1" i="4"/>
  <c r="T1" i="7"/>
  <c r="T1" i="3"/>
  <c r="T1" i="6"/>
  <c r="U1" i="2"/>
  <c r="T3" i="2"/>
  <c r="I21" i="2" l="1"/>
  <c r="N24" i="2"/>
  <c r="N10" i="3" s="1"/>
  <c r="L8" i="47" s="1"/>
  <c r="L24" i="47" s="1"/>
  <c r="D40" i="47" s="1"/>
  <c r="K20" i="2"/>
  <c r="K21" i="2" s="1"/>
  <c r="I4" i="46"/>
  <c r="I17" i="46" s="1"/>
  <c r="M10" i="3"/>
  <c r="K8" i="47" s="1"/>
  <c r="K24" i="47" s="1"/>
  <c r="K6" i="46"/>
  <c r="K19" i="46" s="1"/>
  <c r="O6" i="3"/>
  <c r="M3" i="46"/>
  <c r="M16" i="46" s="1"/>
  <c r="N5" i="3"/>
  <c r="L3" i="47" s="1"/>
  <c r="L19" i="47" s="1"/>
  <c r="D35" i="47" s="1"/>
  <c r="L4" i="47"/>
  <c r="L20" i="47" s="1"/>
  <c r="D36" i="47" s="1"/>
  <c r="H21" i="13"/>
  <c r="F7" i="46"/>
  <c r="F20" i="46" s="1"/>
  <c r="H33" i="2"/>
  <c r="S66" i="6"/>
  <c r="S42" i="6"/>
  <c r="Q51" i="4"/>
  <c r="Q7" i="4" s="1"/>
  <c r="Q7" i="2" s="1"/>
  <c r="Q5" i="2" s="1"/>
  <c r="Q62" i="4"/>
  <c r="R49" i="4"/>
  <c r="R60" i="4"/>
  <c r="R58" i="4"/>
  <c r="R47" i="4"/>
  <c r="R48" i="4"/>
  <c r="R59" i="4"/>
  <c r="R57" i="4"/>
  <c r="R46" i="4"/>
  <c r="R55" i="4"/>
  <c r="R44" i="4"/>
  <c r="R50" i="4"/>
  <c r="R61" i="4"/>
  <c r="R45" i="4"/>
  <c r="R56" i="4"/>
  <c r="R43" i="4"/>
  <c r="R54" i="4"/>
  <c r="O14" i="2"/>
  <c r="O16" i="2"/>
  <c r="O26" i="2"/>
  <c r="O30" i="2"/>
  <c r="P7" i="2"/>
  <c r="P5" i="2" s="1"/>
  <c r="P21" i="5"/>
  <c r="P24" i="5" s="1"/>
  <c r="S33" i="4"/>
  <c r="S76" i="4" s="1"/>
  <c r="S37" i="4"/>
  <c r="S80" i="4" s="1"/>
  <c r="P27" i="2"/>
  <c r="P28" i="2" s="1"/>
  <c r="R36" i="6"/>
  <c r="R60" i="6"/>
  <c r="R70" i="6"/>
  <c r="R46" i="6"/>
  <c r="R72" i="6"/>
  <c r="R48" i="6"/>
  <c r="R64" i="6"/>
  <c r="R40" i="6"/>
  <c r="R58" i="6"/>
  <c r="R34" i="6"/>
  <c r="R65" i="6"/>
  <c r="R41" i="6"/>
  <c r="R35" i="6"/>
  <c r="R59" i="6"/>
  <c r="R45" i="6"/>
  <c r="R69" i="6"/>
  <c r="R57" i="6"/>
  <c r="R33" i="6"/>
  <c r="R74" i="6"/>
  <c r="R50" i="6"/>
  <c r="R44" i="6"/>
  <c r="R68" i="6"/>
  <c r="R37" i="6"/>
  <c r="R61" i="6"/>
  <c r="R73" i="6"/>
  <c r="R49" i="6"/>
  <c r="R71" i="6"/>
  <c r="R47" i="6"/>
  <c r="R63" i="6"/>
  <c r="R39" i="6"/>
  <c r="R43" i="6"/>
  <c r="R67" i="6"/>
  <c r="S32" i="4"/>
  <c r="S75" i="4" s="1"/>
  <c r="S20" i="6"/>
  <c r="S16" i="6"/>
  <c r="S17" i="6"/>
  <c r="S26" i="6"/>
  <c r="S10" i="6"/>
  <c r="S21" i="6"/>
  <c r="S15" i="6"/>
  <c r="S25" i="6"/>
  <c r="S11" i="6"/>
  <c r="S19" i="6"/>
  <c r="S22" i="6"/>
  <c r="S23" i="6"/>
  <c r="S12" i="6"/>
  <c r="S9" i="6"/>
  <c r="S24" i="6"/>
  <c r="S13" i="6"/>
  <c r="Q76" i="6"/>
  <c r="Q52" i="6"/>
  <c r="R28" i="6"/>
  <c r="R40" i="4"/>
  <c r="R83" i="4" s="1"/>
  <c r="S39" i="4"/>
  <c r="S82" i="4" s="1"/>
  <c r="L9" i="3"/>
  <c r="J7" i="47" s="1"/>
  <c r="J23" i="47" s="1"/>
  <c r="L9" i="2"/>
  <c r="S35" i="4"/>
  <c r="S78" i="4" s="1"/>
  <c r="S36" i="4"/>
  <c r="S79" i="4" s="1"/>
  <c r="S38" i="4"/>
  <c r="S81" i="4" s="1"/>
  <c r="S34" i="4"/>
  <c r="S77" i="4" s="1"/>
  <c r="M9" i="5"/>
  <c r="M11" i="2"/>
  <c r="O10" i="5"/>
  <c r="O23" i="5"/>
  <c r="N9" i="5"/>
  <c r="N11" i="2"/>
  <c r="U1" i="13"/>
  <c r="Y14" i="9"/>
  <c r="W4" i="8"/>
  <c r="Z6" i="9"/>
  <c r="Y4" i="13"/>
  <c r="Y5" i="13" s="1"/>
  <c r="T12" i="8"/>
  <c r="U10" i="8" s="1"/>
  <c r="U11" i="8" s="1"/>
  <c r="W9" i="8"/>
  <c r="T3" i="9"/>
  <c r="S3" i="8"/>
  <c r="S25" i="8" s="1"/>
  <c r="T3" i="6"/>
  <c r="T18" i="6" s="1"/>
  <c r="T3" i="5"/>
  <c r="T3" i="4"/>
  <c r="T3" i="3"/>
  <c r="T3" i="7"/>
  <c r="U1" i="9"/>
  <c r="U1" i="6"/>
  <c r="T1" i="8"/>
  <c r="U1" i="5"/>
  <c r="U1" i="4"/>
  <c r="U1" i="7"/>
  <c r="U1" i="3"/>
  <c r="U3" i="2"/>
  <c r="V1" i="2"/>
  <c r="L6" i="46" l="1"/>
  <c r="L19" i="46" s="1"/>
  <c r="D33" i="46" s="1"/>
  <c r="L20" i="2"/>
  <c r="L21" i="2" s="1"/>
  <c r="J4" i="46"/>
  <c r="J17" i="46" s="1"/>
  <c r="Q26" i="2"/>
  <c r="O3" i="46"/>
  <c r="O16" i="46" s="1"/>
  <c r="P26" i="2"/>
  <c r="N3" i="46"/>
  <c r="N16" i="46" s="1"/>
  <c r="O5" i="3"/>
  <c r="M3" i="47" s="1"/>
  <c r="M19" i="47" s="1"/>
  <c r="M4" i="47"/>
  <c r="M20" i="47" s="1"/>
  <c r="K32" i="2"/>
  <c r="I5" i="46"/>
  <c r="I18" i="46" s="1"/>
  <c r="T66" i="6"/>
  <c r="T42" i="6"/>
  <c r="R62" i="4"/>
  <c r="R51" i="4"/>
  <c r="S61" i="4"/>
  <c r="S50" i="4"/>
  <c r="S48" i="4"/>
  <c r="S59" i="4"/>
  <c r="S54" i="4"/>
  <c r="S43" i="4"/>
  <c r="S45" i="4"/>
  <c r="S56" i="4"/>
  <c r="S47" i="4"/>
  <c r="S58" i="4"/>
  <c r="S55" i="4"/>
  <c r="S44" i="4"/>
  <c r="S49" i="4"/>
  <c r="S60" i="4"/>
  <c r="S57" i="4"/>
  <c r="S46" i="4"/>
  <c r="P26" i="5"/>
  <c r="P12" i="5" s="1"/>
  <c r="P15" i="2" s="1"/>
  <c r="P16" i="2" s="1"/>
  <c r="P25" i="5"/>
  <c r="P11" i="5" s="1"/>
  <c r="P13" i="2" s="1"/>
  <c r="P14" i="2" s="1"/>
  <c r="O24" i="2"/>
  <c r="P6" i="3"/>
  <c r="P30" i="2"/>
  <c r="R7" i="4"/>
  <c r="R21" i="5" s="1"/>
  <c r="Q8" i="4"/>
  <c r="T33" i="4"/>
  <c r="T76" i="4" s="1"/>
  <c r="T37" i="4"/>
  <c r="T80" i="4" s="1"/>
  <c r="Q27" i="2"/>
  <c r="Q28" i="2" s="1"/>
  <c r="Q21" i="5"/>
  <c r="Q26" i="5" s="1"/>
  <c r="Q12" i="5" s="1"/>
  <c r="Q15" i="2" s="1"/>
  <c r="Q16" i="2" s="1"/>
  <c r="Q6" i="3"/>
  <c r="Q30" i="2"/>
  <c r="S36" i="6"/>
  <c r="S60" i="6"/>
  <c r="S71" i="6"/>
  <c r="S47" i="6"/>
  <c r="S43" i="6"/>
  <c r="S67" i="6"/>
  <c r="S73" i="6"/>
  <c r="S49" i="6"/>
  <c r="S35" i="6"/>
  <c r="S59" i="6"/>
  <c r="S69" i="6"/>
  <c r="S45" i="6"/>
  <c r="S34" i="6"/>
  <c r="S58" i="6"/>
  <c r="S70" i="6"/>
  <c r="S46" i="6"/>
  <c r="S50" i="6"/>
  <c r="S74" i="6"/>
  <c r="S65" i="6"/>
  <c r="S41" i="6"/>
  <c r="S64" i="6"/>
  <c r="S40" i="6"/>
  <c r="S44" i="6"/>
  <c r="S68" i="6"/>
  <c r="S61" i="6"/>
  <c r="S37" i="6"/>
  <c r="S63" i="6"/>
  <c r="S39" i="6"/>
  <c r="S72" i="6"/>
  <c r="S48" i="6"/>
  <c r="S57" i="6"/>
  <c r="S33" i="6"/>
  <c r="T32" i="4"/>
  <c r="T75" i="4" s="1"/>
  <c r="T25" i="6"/>
  <c r="T26" i="6"/>
  <c r="T13" i="6"/>
  <c r="T20" i="6"/>
  <c r="T16" i="6"/>
  <c r="T24" i="6"/>
  <c r="T9" i="6"/>
  <c r="T21" i="6"/>
  <c r="T17" i="6"/>
  <c r="T10" i="6"/>
  <c r="T11" i="6"/>
  <c r="T12" i="6"/>
  <c r="T22" i="6"/>
  <c r="T23" i="6"/>
  <c r="T19" i="6"/>
  <c r="T15" i="6"/>
  <c r="R52" i="6"/>
  <c r="R27" i="2" s="1"/>
  <c r="R76" i="6"/>
  <c r="S28" i="6"/>
  <c r="T39" i="4"/>
  <c r="T82" i="4" s="1"/>
  <c r="S40" i="4"/>
  <c r="S83" i="4" s="1"/>
  <c r="T35" i="4"/>
  <c r="T78" i="4" s="1"/>
  <c r="T36" i="4"/>
  <c r="T79" i="4" s="1"/>
  <c r="T38" i="4"/>
  <c r="T81" i="4" s="1"/>
  <c r="T34" i="4"/>
  <c r="T77" i="4" s="1"/>
  <c r="M10" i="2"/>
  <c r="M12" i="2"/>
  <c r="N12" i="2"/>
  <c r="N10" i="2"/>
  <c r="P10" i="5"/>
  <c r="O9" i="5"/>
  <c r="O11" i="2"/>
  <c r="V1" i="13"/>
  <c r="AA6" i="9"/>
  <c r="Z4" i="13"/>
  <c r="Z5" i="13" s="1"/>
  <c r="Z14" i="9"/>
  <c r="X4" i="8"/>
  <c r="U12" i="8"/>
  <c r="V10" i="8" s="1"/>
  <c r="V11" i="8" s="1"/>
  <c r="V1" i="9"/>
  <c r="V1" i="6"/>
  <c r="U1" i="8"/>
  <c r="V1" i="7"/>
  <c r="V1" i="5"/>
  <c r="V1" i="4"/>
  <c r="W1" i="2"/>
  <c r="V3" i="2"/>
  <c r="V1" i="3"/>
  <c r="X9" i="8"/>
  <c r="U3" i="9"/>
  <c r="U3" i="6"/>
  <c r="U18" i="6" s="1"/>
  <c r="T3" i="8"/>
  <c r="T25" i="8" s="1"/>
  <c r="U3" i="5"/>
  <c r="U3" i="4"/>
  <c r="U3" i="3"/>
  <c r="U3" i="7"/>
  <c r="P24" i="2" l="1"/>
  <c r="P10" i="3" s="1"/>
  <c r="N8" i="47" s="1"/>
  <c r="N24" i="47" s="1"/>
  <c r="Q5" i="3"/>
  <c r="O3" i="47" s="1"/>
  <c r="O19" i="47" s="1"/>
  <c r="O4" i="47"/>
  <c r="O20" i="47" s="1"/>
  <c r="O10" i="3"/>
  <c r="M8" i="47" s="1"/>
  <c r="M24" i="47" s="1"/>
  <c r="M6" i="46"/>
  <c r="M19" i="46" s="1"/>
  <c r="P5" i="3"/>
  <c r="N3" i="47" s="1"/>
  <c r="N19" i="47" s="1"/>
  <c r="N4" i="47"/>
  <c r="N20" i="47" s="1"/>
  <c r="K33" i="2"/>
  <c r="I7" i="46"/>
  <c r="I20" i="46" s="1"/>
  <c r="L32" i="2"/>
  <c r="J5" i="46"/>
  <c r="J18" i="46" s="1"/>
  <c r="U66" i="6"/>
  <c r="U42" i="6"/>
  <c r="S62" i="4"/>
  <c r="S51" i="4"/>
  <c r="T61" i="4"/>
  <c r="T50" i="4"/>
  <c r="T49" i="4"/>
  <c r="T60" i="4"/>
  <c r="T47" i="4"/>
  <c r="T58" i="4"/>
  <c r="T59" i="4"/>
  <c r="T48" i="4"/>
  <c r="T54" i="4"/>
  <c r="T43" i="4"/>
  <c r="T45" i="4"/>
  <c r="T56" i="4"/>
  <c r="T57" i="4"/>
  <c r="T46" i="4"/>
  <c r="T44" i="4"/>
  <c r="T55" i="4"/>
  <c r="P23" i="5"/>
  <c r="R7" i="2"/>
  <c r="R5" i="2" s="1"/>
  <c r="R8" i="4"/>
  <c r="S7" i="4"/>
  <c r="S7" i="2" s="1"/>
  <c r="S5" i="2" s="1"/>
  <c r="Q3" i="46" s="1"/>
  <c r="Q16" i="46" s="1"/>
  <c r="E30" i="46" s="1"/>
  <c r="Q25" i="5"/>
  <c r="Q11" i="5" s="1"/>
  <c r="Q13" i="2" s="1"/>
  <c r="Q14" i="2" s="1"/>
  <c r="U33" i="4"/>
  <c r="U76" i="4" s="1"/>
  <c r="U37" i="4"/>
  <c r="U80" i="4" s="1"/>
  <c r="Q24" i="5"/>
  <c r="Q10" i="5" s="1"/>
  <c r="Q11" i="2" s="1"/>
  <c r="Q24" i="2"/>
  <c r="T71" i="6"/>
  <c r="T47" i="6"/>
  <c r="T70" i="6"/>
  <c r="T46" i="6"/>
  <c r="T36" i="6"/>
  <c r="T60" i="6"/>
  <c r="T57" i="6"/>
  <c r="T33" i="6"/>
  <c r="T72" i="6"/>
  <c r="T48" i="6"/>
  <c r="T64" i="6"/>
  <c r="T40" i="6"/>
  <c r="T69" i="6"/>
  <c r="T45" i="6"/>
  <c r="T44" i="6"/>
  <c r="T68" i="6"/>
  <c r="T61" i="6"/>
  <c r="T37" i="6"/>
  <c r="T50" i="6"/>
  <c r="T74" i="6"/>
  <c r="T35" i="6"/>
  <c r="T59" i="6"/>
  <c r="T34" i="6"/>
  <c r="T58" i="6"/>
  <c r="T65" i="6"/>
  <c r="T41" i="6"/>
  <c r="T73" i="6"/>
  <c r="T49" i="6"/>
  <c r="T63" i="6"/>
  <c r="T39" i="6"/>
  <c r="T43" i="6"/>
  <c r="T67" i="6"/>
  <c r="R28" i="2"/>
  <c r="U32" i="4"/>
  <c r="U75" i="4" s="1"/>
  <c r="U16" i="6"/>
  <c r="U25" i="6"/>
  <c r="U20" i="6"/>
  <c r="U9" i="6"/>
  <c r="U26" i="6"/>
  <c r="U21" i="6"/>
  <c r="U17" i="6"/>
  <c r="U10" i="6"/>
  <c r="U23" i="6"/>
  <c r="U15" i="6"/>
  <c r="U11" i="6"/>
  <c r="U22" i="6"/>
  <c r="U12" i="6"/>
  <c r="U24" i="6"/>
  <c r="U13" i="6"/>
  <c r="U19" i="6"/>
  <c r="S52" i="6"/>
  <c r="S27" i="2" s="1"/>
  <c r="S76" i="6"/>
  <c r="T28" i="6"/>
  <c r="T40" i="4"/>
  <c r="T83" i="4" s="1"/>
  <c r="U39" i="4"/>
  <c r="U82" i="4" s="1"/>
  <c r="O12" i="2"/>
  <c r="O10" i="2"/>
  <c r="M9" i="3"/>
  <c r="K7" i="47" s="1"/>
  <c r="K23" i="47" s="1"/>
  <c r="M9" i="2"/>
  <c r="P9" i="5"/>
  <c r="P11" i="2"/>
  <c r="R24" i="5"/>
  <c r="R26" i="5"/>
  <c r="R12" i="5" s="1"/>
  <c r="R15" i="2" s="1"/>
  <c r="R25" i="5"/>
  <c r="R11" i="5" s="1"/>
  <c r="R13" i="2" s="1"/>
  <c r="U34" i="4"/>
  <c r="U77" i="4" s="1"/>
  <c r="U35" i="4"/>
  <c r="U78" i="4" s="1"/>
  <c r="U36" i="4"/>
  <c r="U79" i="4" s="1"/>
  <c r="U38" i="4"/>
  <c r="U81" i="4" s="1"/>
  <c r="N9" i="3"/>
  <c r="L7" i="47" s="1"/>
  <c r="L23" i="47" s="1"/>
  <c r="D39" i="47" s="1"/>
  <c r="N9" i="2"/>
  <c r="W1" i="13"/>
  <c r="Y4" i="8"/>
  <c r="AA14" i="9"/>
  <c r="AB6" i="9"/>
  <c r="AA4" i="13"/>
  <c r="AA5" i="13" s="1"/>
  <c r="V12" i="8"/>
  <c r="W10" i="8" s="1"/>
  <c r="W11" i="8" s="1"/>
  <c r="V3" i="9"/>
  <c r="V3" i="6"/>
  <c r="V18" i="6" s="1"/>
  <c r="U3" i="8"/>
  <c r="U25" i="8" s="1"/>
  <c r="V3" i="7"/>
  <c r="V3" i="5"/>
  <c r="V3" i="4"/>
  <c r="V3" i="3"/>
  <c r="W1" i="9"/>
  <c r="V1" i="8"/>
  <c r="W1" i="7"/>
  <c r="W1" i="6"/>
  <c r="W1" i="4"/>
  <c r="W1" i="3"/>
  <c r="W3" i="2"/>
  <c r="W1" i="5"/>
  <c r="X1" i="2"/>
  <c r="Y9" i="8"/>
  <c r="N6" i="46" l="1"/>
  <c r="N19" i="46" s="1"/>
  <c r="M20" i="2"/>
  <c r="K5" i="46" s="1"/>
  <c r="K18" i="46" s="1"/>
  <c r="K4" i="46"/>
  <c r="K17" i="46" s="1"/>
  <c r="Q10" i="3"/>
  <c r="O8" i="47" s="1"/>
  <c r="O24" i="47" s="1"/>
  <c r="O6" i="46"/>
  <c r="O19" i="46" s="1"/>
  <c r="L33" i="2"/>
  <c r="J7" i="46"/>
  <c r="J20" i="46" s="1"/>
  <c r="R26" i="2"/>
  <c r="P3" i="46"/>
  <c r="P16" i="46" s="1"/>
  <c r="N20" i="2"/>
  <c r="N32" i="2" s="1"/>
  <c r="L4" i="46"/>
  <c r="L17" i="46" s="1"/>
  <c r="D31" i="46" s="1"/>
  <c r="V42" i="6"/>
  <c r="V66" i="6"/>
  <c r="T51" i="4"/>
  <c r="T62" i="4"/>
  <c r="U57" i="4"/>
  <c r="U46" i="4"/>
  <c r="U44" i="4"/>
  <c r="U55" i="4"/>
  <c r="U56" i="4"/>
  <c r="U45" i="4"/>
  <c r="U54" i="4"/>
  <c r="U43" i="4"/>
  <c r="U61" i="4"/>
  <c r="U50" i="4"/>
  <c r="U49" i="4"/>
  <c r="U60" i="4"/>
  <c r="U47" i="4"/>
  <c r="U58" i="4"/>
  <c r="U59" i="4"/>
  <c r="U48" i="4"/>
  <c r="R6" i="3"/>
  <c r="R30" i="2"/>
  <c r="R16" i="2"/>
  <c r="R14" i="2"/>
  <c r="S8" i="4"/>
  <c r="S21" i="5"/>
  <c r="S26" i="5" s="1"/>
  <c r="S12" i="5" s="1"/>
  <c r="S15" i="2" s="1"/>
  <c r="S16" i="2" s="1"/>
  <c r="T7" i="4"/>
  <c r="T7" i="2" s="1"/>
  <c r="T5" i="2" s="1"/>
  <c r="R3" i="46" s="1"/>
  <c r="R16" i="46" s="1"/>
  <c r="Q10" i="2"/>
  <c r="Q9" i="3" s="1"/>
  <c r="O7" i="47" s="1"/>
  <c r="O23" i="47" s="1"/>
  <c r="V33" i="4"/>
  <c r="V76" i="4" s="1"/>
  <c r="V37" i="4"/>
  <c r="V80" i="4" s="1"/>
  <c r="Q23" i="5"/>
  <c r="Q9" i="5"/>
  <c r="Q12" i="2"/>
  <c r="S28" i="2"/>
  <c r="U70" i="6"/>
  <c r="U46" i="6"/>
  <c r="U63" i="6"/>
  <c r="U39" i="6"/>
  <c r="U41" i="6"/>
  <c r="U65" i="6"/>
  <c r="U45" i="6"/>
  <c r="U69" i="6"/>
  <c r="U34" i="6"/>
  <c r="U58" i="6"/>
  <c r="U50" i="6"/>
  <c r="U74" i="6"/>
  <c r="U60" i="6"/>
  <c r="U36" i="6"/>
  <c r="U33" i="6"/>
  <c r="U57" i="6"/>
  <c r="U68" i="6"/>
  <c r="U44" i="6"/>
  <c r="U49" i="6"/>
  <c r="U73" i="6"/>
  <c r="U40" i="6"/>
  <c r="U64" i="6"/>
  <c r="U43" i="6"/>
  <c r="U67" i="6"/>
  <c r="U35" i="6"/>
  <c r="U59" i="6"/>
  <c r="U71" i="6"/>
  <c r="U47" i="6"/>
  <c r="U61" i="6"/>
  <c r="U37" i="6"/>
  <c r="U48" i="6"/>
  <c r="U72" i="6"/>
  <c r="V32" i="4"/>
  <c r="V75" i="4" s="1"/>
  <c r="V19" i="6"/>
  <c r="V15" i="6"/>
  <c r="V25" i="6"/>
  <c r="V16" i="6"/>
  <c r="V9" i="6"/>
  <c r="V24" i="6"/>
  <c r="V20" i="6"/>
  <c r="V26" i="6"/>
  <c r="V10" i="6"/>
  <c r="V21" i="6"/>
  <c r="V17" i="6"/>
  <c r="V11" i="6"/>
  <c r="V13" i="6"/>
  <c r="V12" i="6"/>
  <c r="V22" i="6"/>
  <c r="V23" i="6"/>
  <c r="T76" i="6"/>
  <c r="T52" i="6"/>
  <c r="T27" i="2" s="1"/>
  <c r="U28" i="6"/>
  <c r="V39" i="4"/>
  <c r="V82" i="4" s="1"/>
  <c r="U40" i="4"/>
  <c r="U83" i="4" s="1"/>
  <c r="R10" i="5"/>
  <c r="R23" i="5"/>
  <c r="P10" i="2"/>
  <c r="P12" i="2"/>
  <c r="O9" i="3"/>
  <c r="M7" i="47" s="1"/>
  <c r="M23" i="47" s="1"/>
  <c r="O9" i="2"/>
  <c r="V34" i="4"/>
  <c r="V77" i="4" s="1"/>
  <c r="V35" i="4"/>
  <c r="V78" i="4" s="1"/>
  <c r="V36" i="4"/>
  <c r="V79" i="4" s="1"/>
  <c r="V38" i="4"/>
  <c r="V81" i="4" s="1"/>
  <c r="S26" i="2"/>
  <c r="S30" i="2"/>
  <c r="S6" i="3"/>
  <c r="X1" i="13"/>
  <c r="AC6" i="9"/>
  <c r="AB4" i="13"/>
  <c r="AB5" i="13" s="1"/>
  <c r="AB14" i="9"/>
  <c r="Z4" i="8"/>
  <c r="W12" i="8"/>
  <c r="X10" i="8" s="1"/>
  <c r="X11" i="8" s="1"/>
  <c r="W3" i="9"/>
  <c r="V3" i="8"/>
  <c r="V25" i="8" s="1"/>
  <c r="W3" i="7"/>
  <c r="W3" i="3"/>
  <c r="W3" i="5"/>
  <c r="W3" i="6"/>
  <c r="W18" i="6" s="1"/>
  <c r="W3" i="4"/>
  <c r="Z9" i="8"/>
  <c r="X1" i="9"/>
  <c r="W1" i="8"/>
  <c r="X1" i="7"/>
  <c r="X1" i="3"/>
  <c r="X1" i="6"/>
  <c r="X1" i="4"/>
  <c r="X1" i="5"/>
  <c r="Y1" i="2"/>
  <c r="X3" i="2"/>
  <c r="M21" i="2" l="1"/>
  <c r="M32" i="2"/>
  <c r="M33" i="2" s="1"/>
  <c r="N33" i="2"/>
  <c r="L7" i="46"/>
  <c r="L20" i="46" s="1"/>
  <c r="D34" i="46" s="1"/>
  <c r="S5" i="3"/>
  <c r="Q3" i="47" s="1"/>
  <c r="Q19" i="47" s="1"/>
  <c r="E35" i="47" s="1"/>
  <c r="Q4" i="47"/>
  <c r="Q20" i="47" s="1"/>
  <c r="E36" i="47" s="1"/>
  <c r="O20" i="2"/>
  <c r="M4" i="46"/>
  <c r="M17" i="46" s="1"/>
  <c r="R24" i="2"/>
  <c r="R5" i="3"/>
  <c r="P3" i="47" s="1"/>
  <c r="P19" i="47" s="1"/>
  <c r="P4" i="47"/>
  <c r="P20" i="47" s="1"/>
  <c r="N21" i="2"/>
  <c r="L5" i="46"/>
  <c r="L18" i="46" s="1"/>
  <c r="D32" i="46" s="1"/>
  <c r="W42" i="6"/>
  <c r="W66" i="6"/>
  <c r="U51" i="4"/>
  <c r="U62" i="4"/>
  <c r="V61" i="4"/>
  <c r="V50" i="4"/>
  <c r="V60" i="4"/>
  <c r="V49" i="4"/>
  <c r="V46" i="4"/>
  <c r="V57" i="4"/>
  <c r="V59" i="4"/>
  <c r="V48" i="4"/>
  <c r="V56" i="4"/>
  <c r="V45" i="4"/>
  <c r="V44" i="4"/>
  <c r="V55" i="4"/>
  <c r="V47" i="4"/>
  <c r="V58" i="4"/>
  <c r="S24" i="5"/>
  <c r="S10" i="5" s="1"/>
  <c r="V54" i="4"/>
  <c r="V43" i="4"/>
  <c r="S25" i="5"/>
  <c r="S11" i="5" s="1"/>
  <c r="S13" i="2" s="1"/>
  <c r="S14" i="2" s="1"/>
  <c r="T8" i="4"/>
  <c r="T21" i="5"/>
  <c r="T26" i="5" s="1"/>
  <c r="T12" i="5" s="1"/>
  <c r="T15" i="2" s="1"/>
  <c r="T16" i="2" s="1"/>
  <c r="U7" i="4"/>
  <c r="U7" i="2" s="1"/>
  <c r="U5" i="2" s="1"/>
  <c r="S3" i="46" s="1"/>
  <c r="S16" i="46" s="1"/>
  <c r="Q9" i="2"/>
  <c r="W33" i="4"/>
  <c r="W76" i="4" s="1"/>
  <c r="W37" i="4"/>
  <c r="W80" i="4" s="1"/>
  <c r="V61" i="6"/>
  <c r="V37" i="6"/>
  <c r="V35" i="6"/>
  <c r="V59" i="6"/>
  <c r="V41" i="6"/>
  <c r="V65" i="6"/>
  <c r="V50" i="6"/>
  <c r="V74" i="6"/>
  <c r="V68" i="6"/>
  <c r="V44" i="6"/>
  <c r="V69" i="6"/>
  <c r="V45" i="6"/>
  <c r="V34" i="6"/>
  <c r="V58" i="6"/>
  <c r="V72" i="6"/>
  <c r="V48" i="6"/>
  <c r="V60" i="6"/>
  <c r="V36" i="6"/>
  <c r="V33" i="6"/>
  <c r="V57" i="6"/>
  <c r="V64" i="6"/>
  <c r="V40" i="6"/>
  <c r="V49" i="6"/>
  <c r="V73" i="6"/>
  <c r="V63" i="6"/>
  <c r="V39" i="6"/>
  <c r="V43" i="6"/>
  <c r="V67" i="6"/>
  <c r="V71" i="6"/>
  <c r="V47" i="6"/>
  <c r="V70" i="6"/>
  <c r="V46" i="6"/>
  <c r="T28" i="2"/>
  <c r="W32" i="4"/>
  <c r="W75" i="4" s="1"/>
  <c r="W24" i="6"/>
  <c r="W13" i="6"/>
  <c r="W19" i="6"/>
  <c r="W15" i="6"/>
  <c r="W12" i="6"/>
  <c r="W25" i="6"/>
  <c r="W9" i="6"/>
  <c r="W20" i="6"/>
  <c r="W16" i="6"/>
  <c r="W26" i="6"/>
  <c r="W21" i="6"/>
  <c r="W17" i="6"/>
  <c r="W10" i="6"/>
  <c r="W11" i="6"/>
  <c r="W22" i="6"/>
  <c r="W23" i="6"/>
  <c r="U52" i="6"/>
  <c r="U27" i="2" s="1"/>
  <c r="U76" i="6"/>
  <c r="S24" i="2"/>
  <c r="V40" i="4"/>
  <c r="V83" i="4" s="1"/>
  <c r="V28" i="6"/>
  <c r="W39" i="4"/>
  <c r="W82" i="4" s="1"/>
  <c r="T26" i="2"/>
  <c r="T30" i="2"/>
  <c r="T6" i="3"/>
  <c r="W38" i="4"/>
  <c r="W81" i="4" s="1"/>
  <c r="W34" i="4"/>
  <c r="W77" i="4" s="1"/>
  <c r="W35" i="4"/>
  <c r="W78" i="4" s="1"/>
  <c r="W36" i="4"/>
  <c r="W79" i="4" s="1"/>
  <c r="P9" i="3"/>
  <c r="N7" i="47" s="1"/>
  <c r="N23" i="47" s="1"/>
  <c r="P9" i="2"/>
  <c r="R11" i="2"/>
  <c r="R9" i="5"/>
  <c r="Y1" i="13"/>
  <c r="AD6" i="9"/>
  <c r="AC4" i="13"/>
  <c r="AC5" i="13" s="1"/>
  <c r="AA4" i="8"/>
  <c r="AC14" i="9"/>
  <c r="X12" i="8"/>
  <c r="Y10" i="8" s="1"/>
  <c r="Y11" i="8" s="1"/>
  <c r="AA9" i="8"/>
  <c r="X3" i="9"/>
  <c r="W3" i="8"/>
  <c r="W25" i="8" s="1"/>
  <c r="X3" i="7"/>
  <c r="X3" i="3"/>
  <c r="X3" i="6"/>
  <c r="X18" i="6" s="1"/>
  <c r="X3" i="5"/>
  <c r="X3" i="4"/>
  <c r="Y1" i="9"/>
  <c r="Y1" i="7"/>
  <c r="Y1" i="3"/>
  <c r="Y1" i="6"/>
  <c r="Y1" i="5"/>
  <c r="Y1" i="4"/>
  <c r="Y3" i="2"/>
  <c r="X1" i="8"/>
  <c r="Z1" i="2"/>
  <c r="K7" i="46" l="1"/>
  <c r="K20" i="46" s="1"/>
  <c r="O21" i="2"/>
  <c r="M5" i="46"/>
  <c r="M18" i="46" s="1"/>
  <c r="O32" i="2"/>
  <c r="P20" i="2"/>
  <c r="P32" i="2" s="1"/>
  <c r="N4" i="46"/>
  <c r="N17" i="46" s="1"/>
  <c r="T5" i="3"/>
  <c r="R3" i="47" s="1"/>
  <c r="R19" i="47" s="1"/>
  <c r="R4" i="47"/>
  <c r="R20" i="47" s="1"/>
  <c r="S10" i="3"/>
  <c r="Q8" i="47" s="1"/>
  <c r="Q24" i="47" s="1"/>
  <c r="E40" i="47" s="1"/>
  <c r="Q6" i="46"/>
  <c r="Q19" i="46" s="1"/>
  <c r="E33" i="46" s="1"/>
  <c r="Q20" i="2"/>
  <c r="Q32" i="2" s="1"/>
  <c r="O7" i="46" s="1"/>
  <c r="O20" i="46" s="1"/>
  <c r="O4" i="46"/>
  <c r="O17" i="46" s="1"/>
  <c r="R10" i="3"/>
  <c r="P8" i="47" s="1"/>
  <c r="P24" i="47" s="1"/>
  <c r="P6" i="46"/>
  <c r="P19" i="46" s="1"/>
  <c r="X42" i="6"/>
  <c r="X66" i="6"/>
  <c r="V51" i="4"/>
  <c r="V62" i="4"/>
  <c r="W56" i="4"/>
  <c r="W45" i="4"/>
  <c r="W46" i="4"/>
  <c r="W57" i="4"/>
  <c r="W50" i="4"/>
  <c r="W61" i="4"/>
  <c r="W43" i="4"/>
  <c r="W54" i="4"/>
  <c r="W58" i="4"/>
  <c r="W47" i="4"/>
  <c r="W60" i="4"/>
  <c r="W49" i="4"/>
  <c r="T24" i="5"/>
  <c r="T10" i="5" s="1"/>
  <c r="W59" i="4"/>
  <c r="W48" i="4"/>
  <c r="T25" i="5"/>
  <c r="T11" i="5" s="1"/>
  <c r="T13" i="2" s="1"/>
  <c r="T14" i="2" s="1"/>
  <c r="W44" i="4"/>
  <c r="W55" i="4"/>
  <c r="S23" i="5"/>
  <c r="U21" i="5"/>
  <c r="U26" i="5" s="1"/>
  <c r="U12" i="5" s="1"/>
  <c r="U15" i="2" s="1"/>
  <c r="U16" i="2" s="1"/>
  <c r="U8" i="4"/>
  <c r="V7" i="4"/>
  <c r="V8" i="4" s="1"/>
  <c r="X33" i="4"/>
  <c r="X76" i="4" s="1"/>
  <c r="X37" i="4"/>
  <c r="X80" i="4" s="1"/>
  <c r="U28" i="2"/>
  <c r="W50" i="6"/>
  <c r="W74" i="6"/>
  <c r="W34" i="6"/>
  <c r="W58" i="6"/>
  <c r="W49" i="6"/>
  <c r="W73" i="6"/>
  <c r="W60" i="6"/>
  <c r="W36" i="6"/>
  <c r="W63" i="6"/>
  <c r="W39" i="6"/>
  <c r="W41" i="6"/>
  <c r="W65" i="6"/>
  <c r="W67" i="6"/>
  <c r="W43" i="6"/>
  <c r="W33" i="6"/>
  <c r="W57" i="6"/>
  <c r="W61" i="6"/>
  <c r="W37" i="6"/>
  <c r="W40" i="6"/>
  <c r="W64" i="6"/>
  <c r="W48" i="6"/>
  <c r="W72" i="6"/>
  <c r="W69" i="6"/>
  <c r="W45" i="6"/>
  <c r="W68" i="6"/>
  <c r="W44" i="6"/>
  <c r="W47" i="6"/>
  <c r="W71" i="6"/>
  <c r="W70" i="6"/>
  <c r="W46" i="6"/>
  <c r="W59" i="6"/>
  <c r="W35" i="6"/>
  <c r="X32" i="4"/>
  <c r="X75" i="4" s="1"/>
  <c r="X24" i="6"/>
  <c r="X13" i="6"/>
  <c r="X15" i="6"/>
  <c r="X19" i="6"/>
  <c r="X22" i="6"/>
  <c r="X25" i="6"/>
  <c r="X20" i="6"/>
  <c r="X16" i="6"/>
  <c r="X26" i="6"/>
  <c r="X10" i="6"/>
  <c r="X11" i="6"/>
  <c r="X21" i="6"/>
  <c r="X17" i="6"/>
  <c r="X23" i="6"/>
  <c r="X12" i="6"/>
  <c r="X9" i="6"/>
  <c r="V76" i="6"/>
  <c r="V52" i="6"/>
  <c r="V27" i="2" s="1"/>
  <c r="T24" i="2"/>
  <c r="W28" i="6"/>
  <c r="X39" i="4"/>
  <c r="X82" i="4" s="1"/>
  <c r="W40" i="4"/>
  <c r="W83" i="4" s="1"/>
  <c r="R12" i="2"/>
  <c r="R10" i="2"/>
  <c r="X36" i="4"/>
  <c r="X79" i="4" s="1"/>
  <c r="X38" i="4"/>
  <c r="X81" i="4" s="1"/>
  <c r="X34" i="4"/>
  <c r="X77" i="4" s="1"/>
  <c r="X35" i="4"/>
  <c r="X78" i="4" s="1"/>
  <c r="U26" i="2"/>
  <c r="U6" i="3"/>
  <c r="U30" i="2"/>
  <c r="S9" i="5"/>
  <c r="S11" i="2"/>
  <c r="AD14" i="9"/>
  <c r="AB4" i="8"/>
  <c r="AE6" i="9"/>
  <c r="AD4" i="13"/>
  <c r="AD5" i="13" s="1"/>
  <c r="Z1" i="4"/>
  <c r="Z1" i="13"/>
  <c r="Y12" i="8"/>
  <c r="Z10" i="8" s="1"/>
  <c r="Z11" i="8" s="1"/>
  <c r="Y3" i="9"/>
  <c r="Y3" i="7"/>
  <c r="Y3" i="3"/>
  <c r="X3" i="8"/>
  <c r="X25" i="8" s="1"/>
  <c r="Y3" i="6"/>
  <c r="Y18" i="6" s="1"/>
  <c r="Y3" i="5"/>
  <c r="Y3" i="4"/>
  <c r="AB9" i="8"/>
  <c r="Z1" i="9"/>
  <c r="Z1" i="7"/>
  <c r="Z1" i="6"/>
  <c r="Z1" i="5"/>
  <c r="Y1" i="8"/>
  <c r="Z1" i="3"/>
  <c r="AA1" i="2"/>
  <c r="Z3" i="2"/>
  <c r="T10" i="3" l="1"/>
  <c r="R8" i="47" s="1"/>
  <c r="R24" i="47" s="1"/>
  <c r="R6" i="46"/>
  <c r="R19" i="46" s="1"/>
  <c r="U5" i="3"/>
  <c r="S3" i="47" s="1"/>
  <c r="S19" i="47" s="1"/>
  <c r="S4" i="47"/>
  <c r="S20" i="47" s="1"/>
  <c r="P21" i="2"/>
  <c r="N5" i="46"/>
  <c r="N18" i="46" s="1"/>
  <c r="O33" i="2"/>
  <c r="M7" i="46"/>
  <c r="M20" i="46" s="1"/>
  <c r="Q21" i="2"/>
  <c r="O5" i="46"/>
  <c r="O18" i="46" s="1"/>
  <c r="P33" i="2"/>
  <c r="N7" i="46"/>
  <c r="N20" i="46" s="1"/>
  <c r="Y42" i="6"/>
  <c r="Y66" i="6"/>
  <c r="W51" i="4"/>
  <c r="W62" i="4"/>
  <c r="T23" i="5"/>
  <c r="X46" i="4"/>
  <c r="X57" i="4"/>
  <c r="X56" i="4"/>
  <c r="X45" i="4"/>
  <c r="X43" i="4"/>
  <c r="X54" i="4"/>
  <c r="X60" i="4"/>
  <c r="X49" i="4"/>
  <c r="X48" i="4"/>
  <c r="X59" i="4"/>
  <c r="X58" i="4"/>
  <c r="X47" i="4"/>
  <c r="X50" i="4"/>
  <c r="X61" i="4"/>
  <c r="X55" i="4"/>
  <c r="X44" i="4"/>
  <c r="U25" i="5"/>
  <c r="U11" i="5" s="1"/>
  <c r="U13" i="2" s="1"/>
  <c r="U14" i="2" s="1"/>
  <c r="U24" i="5"/>
  <c r="U10" i="5" s="1"/>
  <c r="V21" i="5"/>
  <c r="V25" i="5" s="1"/>
  <c r="V11" i="5" s="1"/>
  <c r="V13" i="2" s="1"/>
  <c r="V7" i="2"/>
  <c r="V5" i="2" s="1"/>
  <c r="W7" i="4"/>
  <c r="W8" i="4" s="1"/>
  <c r="Y33" i="4"/>
  <c r="Y76" i="4" s="1"/>
  <c r="Y37" i="4"/>
  <c r="Y80" i="4" s="1"/>
  <c r="X59" i="6"/>
  <c r="X35" i="6"/>
  <c r="X34" i="6"/>
  <c r="X58" i="6"/>
  <c r="X49" i="6"/>
  <c r="X73" i="6"/>
  <c r="X70" i="6"/>
  <c r="X46" i="6"/>
  <c r="X69" i="6"/>
  <c r="X45" i="6"/>
  <c r="X50" i="6"/>
  <c r="X74" i="6"/>
  <c r="X67" i="6"/>
  <c r="X43" i="6"/>
  <c r="X40" i="6"/>
  <c r="X64" i="6"/>
  <c r="X68" i="6"/>
  <c r="X44" i="6"/>
  <c r="X63" i="6"/>
  <c r="X39" i="6"/>
  <c r="X61" i="6"/>
  <c r="X37" i="6"/>
  <c r="X48" i="6"/>
  <c r="X72" i="6"/>
  <c r="X33" i="6"/>
  <c r="X57" i="6"/>
  <c r="X41" i="6"/>
  <c r="X65" i="6"/>
  <c r="X60" i="6"/>
  <c r="X36" i="6"/>
  <c r="X71" i="6"/>
  <c r="X47" i="6"/>
  <c r="V28" i="2"/>
  <c r="Y32" i="4"/>
  <c r="Y75" i="4" s="1"/>
  <c r="Y13" i="6"/>
  <c r="Y24" i="6"/>
  <c r="Y19" i="6"/>
  <c r="Y15" i="6"/>
  <c r="Y12" i="6"/>
  <c r="Y25" i="6"/>
  <c r="Y11" i="6"/>
  <c r="Y20" i="6"/>
  <c r="Y16" i="6"/>
  <c r="Y26" i="6"/>
  <c r="Y21" i="6"/>
  <c r="Y17" i="6"/>
  <c r="Y10" i="6"/>
  <c r="Y23" i="6"/>
  <c r="Y9" i="6"/>
  <c r="Y22" i="6"/>
  <c r="W76" i="6"/>
  <c r="W52" i="6"/>
  <c r="W27" i="2" s="1"/>
  <c r="U24" i="2"/>
  <c r="X28" i="6"/>
  <c r="Y39" i="4"/>
  <c r="Y82" i="4" s="1"/>
  <c r="X40" i="4"/>
  <c r="X83" i="4" s="1"/>
  <c r="T9" i="5"/>
  <c r="T11" i="2"/>
  <c r="S10" i="2"/>
  <c r="S12" i="2"/>
  <c r="R9" i="3"/>
  <c r="P7" i="47" s="1"/>
  <c r="P23" i="47" s="1"/>
  <c r="R9" i="2"/>
  <c r="Y36" i="4"/>
  <c r="Y79" i="4" s="1"/>
  <c r="Y38" i="4"/>
  <c r="Y81" i="4" s="1"/>
  <c r="Y34" i="4"/>
  <c r="Y77" i="4" s="1"/>
  <c r="Y35" i="4"/>
  <c r="Y78" i="4" s="1"/>
  <c r="AA1" i="13"/>
  <c r="Z3" i="4"/>
  <c r="AF6" i="9"/>
  <c r="AE4" i="13"/>
  <c r="AE5" i="13" s="1"/>
  <c r="AC4" i="8"/>
  <c r="AE14" i="9"/>
  <c r="Q33" i="2"/>
  <c r="AA1" i="4"/>
  <c r="AA1" i="6"/>
  <c r="Z12" i="8"/>
  <c r="AA10" i="8" s="1"/>
  <c r="AA11" i="8" s="1"/>
  <c r="AC9" i="8"/>
  <c r="Z3" i="9"/>
  <c r="Z3" i="7"/>
  <c r="Z3" i="6"/>
  <c r="Z18" i="6" s="1"/>
  <c r="Y3" i="8"/>
  <c r="Y25" i="8" s="1"/>
  <c r="Z3" i="5"/>
  <c r="Z3" i="3"/>
  <c r="AA1" i="9"/>
  <c r="AA1" i="7"/>
  <c r="Z1" i="8"/>
  <c r="AA1" i="5"/>
  <c r="AA1" i="3"/>
  <c r="AA3" i="2"/>
  <c r="AB1" i="2"/>
  <c r="U10" i="3" l="1"/>
  <c r="S8" i="47" s="1"/>
  <c r="S24" i="47" s="1"/>
  <c r="S6" i="46"/>
  <c r="S19" i="46" s="1"/>
  <c r="V26" i="2"/>
  <c r="T3" i="46"/>
  <c r="T16" i="46" s="1"/>
  <c r="R20" i="2"/>
  <c r="R32" i="2" s="1"/>
  <c r="P4" i="46"/>
  <c r="P17" i="46" s="1"/>
  <c r="Z42" i="6"/>
  <c r="Z66" i="6"/>
  <c r="X51" i="4"/>
  <c r="U23" i="5"/>
  <c r="X62" i="4"/>
  <c r="Y45" i="4"/>
  <c r="Y56" i="4"/>
  <c r="Y55" i="4"/>
  <c r="Y44" i="4"/>
  <c r="Y60" i="4"/>
  <c r="Y49" i="4"/>
  <c r="Y58" i="4"/>
  <c r="Y47" i="4"/>
  <c r="V26" i="5"/>
  <c r="V12" i="5" s="1"/>
  <c r="V15" i="2" s="1"/>
  <c r="V16" i="2" s="1"/>
  <c r="Y43" i="4"/>
  <c r="Y54" i="4"/>
  <c r="Y46" i="4"/>
  <c r="Y57" i="4"/>
  <c r="V24" i="5"/>
  <c r="V10" i="5" s="1"/>
  <c r="Y50" i="4"/>
  <c r="Y61" i="4"/>
  <c r="Y48" i="4"/>
  <c r="Y59" i="4"/>
  <c r="W7" i="2"/>
  <c r="W5" i="2" s="1"/>
  <c r="V14" i="2"/>
  <c r="V30" i="2"/>
  <c r="V6" i="3"/>
  <c r="W21" i="5"/>
  <c r="W24" i="5" s="1"/>
  <c r="X7" i="4"/>
  <c r="X8" i="4" s="1"/>
  <c r="Z33" i="4"/>
  <c r="Z76" i="4" s="1"/>
  <c r="Z37" i="4"/>
  <c r="Z80" i="4" s="1"/>
  <c r="Y41" i="6"/>
  <c r="Y65" i="6"/>
  <c r="Y74" i="6"/>
  <c r="Y50" i="6"/>
  <c r="Y40" i="6"/>
  <c r="Y64" i="6"/>
  <c r="Y59" i="6"/>
  <c r="Y35" i="6"/>
  <c r="Y68" i="6"/>
  <c r="Y44" i="6"/>
  <c r="Y49" i="6"/>
  <c r="Y73" i="6"/>
  <c r="Y60" i="6"/>
  <c r="Y36" i="6"/>
  <c r="Y39" i="6"/>
  <c r="Y63" i="6"/>
  <c r="Y58" i="6"/>
  <c r="Y34" i="6"/>
  <c r="Y67" i="6"/>
  <c r="Y43" i="6"/>
  <c r="Y48" i="6"/>
  <c r="Y72" i="6"/>
  <c r="Y69" i="6"/>
  <c r="Y45" i="6"/>
  <c r="Y61" i="6"/>
  <c r="Y37" i="6"/>
  <c r="Y46" i="6"/>
  <c r="Y70" i="6"/>
  <c r="Y33" i="6"/>
  <c r="Y57" i="6"/>
  <c r="Y47" i="6"/>
  <c r="Y71" i="6"/>
  <c r="W28" i="2"/>
  <c r="Z32" i="4"/>
  <c r="Z75" i="4" s="1"/>
  <c r="Z23" i="6"/>
  <c r="Z12" i="6"/>
  <c r="Z9" i="6"/>
  <c r="Z24" i="6"/>
  <c r="Z22" i="6"/>
  <c r="Z13" i="6"/>
  <c r="Z10" i="6"/>
  <c r="Z19" i="6"/>
  <c r="Z15" i="6"/>
  <c r="Z25" i="6"/>
  <c r="Z20" i="6"/>
  <c r="Z16" i="6"/>
  <c r="Z17" i="6"/>
  <c r="Z11" i="6"/>
  <c r="Z26" i="6"/>
  <c r="Z21" i="6"/>
  <c r="X52" i="6"/>
  <c r="X27" i="2" s="1"/>
  <c r="X28" i="2" s="1"/>
  <c r="X76" i="6"/>
  <c r="Y28" i="6"/>
  <c r="Z39" i="4"/>
  <c r="Z82" i="4" s="1"/>
  <c r="Y40" i="4"/>
  <c r="Y83" i="4" s="1"/>
  <c r="S9" i="2"/>
  <c r="S9" i="3"/>
  <c r="Q7" i="47" s="1"/>
  <c r="Q23" i="47" s="1"/>
  <c r="E39" i="47" s="1"/>
  <c r="U9" i="5"/>
  <c r="U11" i="2"/>
  <c r="T10" i="2"/>
  <c r="T12" i="2"/>
  <c r="Z35" i="4"/>
  <c r="Z78" i="4" s="1"/>
  <c r="Z36" i="4"/>
  <c r="Z79" i="4" s="1"/>
  <c r="Z38" i="4"/>
  <c r="Z81" i="4" s="1"/>
  <c r="Z34" i="4"/>
  <c r="Z77" i="4" s="1"/>
  <c r="AB1" i="13"/>
  <c r="AD4" i="8"/>
  <c r="AF14" i="9"/>
  <c r="AG6" i="9"/>
  <c r="AF4" i="13"/>
  <c r="AF5" i="13" s="1"/>
  <c r="AB1" i="4"/>
  <c r="AB1" i="6"/>
  <c r="AA3" i="4"/>
  <c r="AA3" i="6"/>
  <c r="AA18" i="6" s="1"/>
  <c r="AA12" i="8"/>
  <c r="AB10" i="8" s="1"/>
  <c r="AB11" i="8" s="1"/>
  <c r="AB1" i="9"/>
  <c r="AA1" i="8"/>
  <c r="AB1" i="7"/>
  <c r="AB1" i="5"/>
  <c r="AB1" i="3"/>
  <c r="AC1" i="2"/>
  <c r="AB3" i="2"/>
  <c r="AA3" i="9"/>
  <c r="AA3" i="7"/>
  <c r="Z3" i="8"/>
  <c r="Z25" i="8" s="1"/>
  <c r="AA3" i="5"/>
  <c r="AA3" i="3"/>
  <c r="AD9" i="8"/>
  <c r="S20" i="2" l="1"/>
  <c r="S21" i="2" s="1"/>
  <c r="Q4" i="46"/>
  <c r="Q17" i="46" s="1"/>
  <c r="E31" i="46" s="1"/>
  <c r="V5" i="3"/>
  <c r="T3" i="47" s="1"/>
  <c r="T19" i="47" s="1"/>
  <c r="T4" i="47"/>
  <c r="T20" i="47" s="1"/>
  <c r="R33" i="2"/>
  <c r="P7" i="46"/>
  <c r="P20" i="46" s="1"/>
  <c r="R21" i="2"/>
  <c r="P5" i="46"/>
  <c r="P18" i="46" s="1"/>
  <c r="V24" i="2"/>
  <c r="W6" i="3"/>
  <c r="U3" i="46"/>
  <c r="U16" i="46" s="1"/>
  <c r="AA66" i="6"/>
  <c r="AA42" i="6"/>
  <c r="Y62" i="4"/>
  <c r="V23" i="5"/>
  <c r="Y51" i="4"/>
  <c r="W26" i="2"/>
  <c r="Z43" i="4"/>
  <c r="Z54" i="4"/>
  <c r="W30" i="2"/>
  <c r="Z50" i="4"/>
  <c r="Z61" i="4"/>
  <c r="Z48" i="4"/>
  <c r="Z59" i="4"/>
  <c r="Z45" i="4"/>
  <c r="Z56" i="4"/>
  <c r="Z55" i="4"/>
  <c r="Z44" i="4"/>
  <c r="Z49" i="4"/>
  <c r="Z60" i="4"/>
  <c r="Z58" i="4"/>
  <c r="Z47" i="4"/>
  <c r="Z57" i="4"/>
  <c r="Z46" i="4"/>
  <c r="W26" i="5"/>
  <c r="W12" i="5" s="1"/>
  <c r="W15" i="2" s="1"/>
  <c r="W16" i="2" s="1"/>
  <c r="X21" i="5"/>
  <c r="X26" i="5" s="1"/>
  <c r="X12" i="5" s="1"/>
  <c r="X15" i="2" s="1"/>
  <c r="Y7" i="4"/>
  <c r="Y7" i="2" s="1"/>
  <c r="Y5" i="2" s="1"/>
  <c r="W3" i="46" s="1"/>
  <c r="W16" i="46" s="1"/>
  <c r="W25" i="5"/>
  <c r="W11" i="5" s="1"/>
  <c r="W13" i="2" s="1"/>
  <c r="W14" i="2" s="1"/>
  <c r="X7" i="2"/>
  <c r="X5" i="2" s="1"/>
  <c r="AA33" i="4"/>
  <c r="AA76" i="4" s="1"/>
  <c r="AA37" i="4"/>
  <c r="AA80" i="4" s="1"/>
  <c r="Z40" i="6"/>
  <c r="Z64" i="6"/>
  <c r="Z41" i="6"/>
  <c r="Z65" i="6"/>
  <c r="Z61" i="6"/>
  <c r="Z37" i="6"/>
  <c r="Z39" i="6"/>
  <c r="Z63" i="6"/>
  <c r="Z70" i="6"/>
  <c r="Z46" i="6"/>
  <c r="Z49" i="6"/>
  <c r="Z73" i="6"/>
  <c r="Z48" i="6"/>
  <c r="Z72" i="6"/>
  <c r="Z33" i="6"/>
  <c r="Z57" i="6"/>
  <c r="Z68" i="6"/>
  <c r="Z44" i="6"/>
  <c r="Z67" i="6"/>
  <c r="Z43" i="6"/>
  <c r="Z60" i="6"/>
  <c r="Z36" i="6"/>
  <c r="Z47" i="6"/>
  <c r="Z71" i="6"/>
  <c r="Z58" i="6"/>
  <c r="Z34" i="6"/>
  <c r="Z69" i="6"/>
  <c r="Z45" i="6"/>
  <c r="Z74" i="6"/>
  <c r="Z50" i="6"/>
  <c r="Z59" i="6"/>
  <c r="Z35" i="6"/>
  <c r="AA32" i="4"/>
  <c r="AA75" i="4" s="1"/>
  <c r="AA23" i="6"/>
  <c r="AA12" i="6"/>
  <c r="AA9" i="6"/>
  <c r="AA21" i="6"/>
  <c r="AA11" i="6"/>
  <c r="AA24" i="6"/>
  <c r="AA13" i="6"/>
  <c r="AA17" i="6"/>
  <c r="AA19" i="6"/>
  <c r="AA15" i="6"/>
  <c r="AA10" i="6"/>
  <c r="AA25" i="6"/>
  <c r="AA20" i="6"/>
  <c r="AA16" i="6"/>
  <c r="AA26" i="6"/>
  <c r="AA22" i="6"/>
  <c r="Y52" i="6"/>
  <c r="Y27" i="2" s="1"/>
  <c r="Y76" i="6"/>
  <c r="Z28" i="6"/>
  <c r="Z40" i="4"/>
  <c r="Z83" i="4" s="1"/>
  <c r="AA39" i="4"/>
  <c r="AA82" i="4" s="1"/>
  <c r="AA35" i="4"/>
  <c r="AA78" i="4" s="1"/>
  <c r="AA36" i="4"/>
  <c r="AA79" i="4" s="1"/>
  <c r="AA38" i="4"/>
  <c r="AA81" i="4" s="1"/>
  <c r="AA34" i="4"/>
  <c r="AA77" i="4" s="1"/>
  <c r="W10" i="5"/>
  <c r="V9" i="5"/>
  <c r="V11" i="2"/>
  <c r="U10" i="2"/>
  <c r="U12" i="2"/>
  <c r="T9" i="2"/>
  <c r="T9" i="3"/>
  <c r="R7" i="47" s="1"/>
  <c r="R23" i="47" s="1"/>
  <c r="AH6" i="9"/>
  <c r="AG4" i="13"/>
  <c r="AG5" i="13" s="1"/>
  <c r="AG14" i="9"/>
  <c r="AE4" i="8"/>
  <c r="AC1" i="6"/>
  <c r="AC1" i="13"/>
  <c r="AB3" i="6"/>
  <c r="AB18" i="6" s="1"/>
  <c r="AB3" i="4"/>
  <c r="AB12" i="8"/>
  <c r="AC10" i="8" s="1"/>
  <c r="AC11" i="8" s="1"/>
  <c r="AC1" i="9"/>
  <c r="AB1" i="8"/>
  <c r="AC1" i="7"/>
  <c r="AC1" i="5"/>
  <c r="AC1" i="4"/>
  <c r="AC1" i="3"/>
  <c r="AC3" i="2"/>
  <c r="AD1" i="2"/>
  <c r="AE9" i="8"/>
  <c r="AB3" i="9"/>
  <c r="AA3" i="8"/>
  <c r="AA25" i="8" s="1"/>
  <c r="AB3" i="5"/>
  <c r="AB3" i="7"/>
  <c r="AB3" i="3"/>
  <c r="Y21" i="5" l="1"/>
  <c r="Y24" i="5" s="1"/>
  <c r="W5" i="3"/>
  <c r="U3" i="47" s="1"/>
  <c r="U19" i="47" s="1"/>
  <c r="U4" i="47"/>
  <c r="U20" i="47" s="1"/>
  <c r="T20" i="2"/>
  <c r="T21" i="2" s="1"/>
  <c r="R4" i="46"/>
  <c r="R17" i="46" s="1"/>
  <c r="X26" i="2"/>
  <c r="V3" i="46"/>
  <c r="V16" i="46" s="1"/>
  <c r="F30" i="46" s="1"/>
  <c r="V10" i="3"/>
  <c r="T8" i="47" s="1"/>
  <c r="T24" i="47" s="1"/>
  <c r="T6" i="46"/>
  <c r="T19" i="46" s="1"/>
  <c r="S32" i="2"/>
  <c r="Q5" i="46"/>
  <c r="Q18" i="46" s="1"/>
  <c r="E32" i="46" s="1"/>
  <c r="AB66" i="6"/>
  <c r="AB42" i="6"/>
  <c r="W24" i="2"/>
  <c r="X24" i="5"/>
  <c r="X10" i="5" s="1"/>
  <c r="Z62" i="4"/>
  <c r="W23" i="5"/>
  <c r="Z51" i="4"/>
  <c r="X25" i="5"/>
  <c r="X11" i="5" s="1"/>
  <c r="X13" i="2" s="1"/>
  <c r="X14" i="2" s="1"/>
  <c r="AA47" i="4"/>
  <c r="AA58" i="4"/>
  <c r="AA57" i="4"/>
  <c r="AA46" i="4"/>
  <c r="AA54" i="4"/>
  <c r="AA43" i="4"/>
  <c r="AA49" i="4"/>
  <c r="AA60" i="4"/>
  <c r="AA61" i="4"/>
  <c r="AA50" i="4"/>
  <c r="AA48" i="4"/>
  <c r="AA59" i="4"/>
  <c r="AA45" i="4"/>
  <c r="AA56" i="4"/>
  <c r="AA55" i="4"/>
  <c r="AA44" i="4"/>
  <c r="X6" i="3"/>
  <c r="X30" i="2"/>
  <c r="X16" i="2"/>
  <c r="Z7" i="4"/>
  <c r="Z21" i="5" s="1"/>
  <c r="AB33" i="4"/>
  <c r="AB76" i="4" s="1"/>
  <c r="AB37" i="4"/>
  <c r="AB80" i="4" s="1"/>
  <c r="Y8" i="4"/>
  <c r="AA73" i="6"/>
  <c r="AA49" i="6"/>
  <c r="AA39" i="6"/>
  <c r="AA63" i="6"/>
  <c r="AA65" i="6"/>
  <c r="AA41" i="6"/>
  <c r="AA61" i="6"/>
  <c r="AA37" i="6"/>
  <c r="AA48" i="6"/>
  <c r="AA72" i="6"/>
  <c r="AA67" i="6"/>
  <c r="AA43" i="6"/>
  <c r="AA45" i="6"/>
  <c r="AA69" i="6"/>
  <c r="AA58" i="6"/>
  <c r="AA34" i="6"/>
  <c r="AA57" i="6"/>
  <c r="AA33" i="6"/>
  <c r="AA60" i="6"/>
  <c r="AA36" i="6"/>
  <c r="AA59" i="6"/>
  <c r="AA35" i="6"/>
  <c r="AA47" i="6"/>
  <c r="AA71" i="6"/>
  <c r="AA46" i="6"/>
  <c r="AA70" i="6"/>
  <c r="AA74" i="6"/>
  <c r="AA50" i="6"/>
  <c r="AA68" i="6"/>
  <c r="AA44" i="6"/>
  <c r="AA40" i="6"/>
  <c r="AA64" i="6"/>
  <c r="Y28" i="2"/>
  <c r="AB32" i="4"/>
  <c r="AB75" i="4" s="1"/>
  <c r="AB23" i="6"/>
  <c r="AB9" i="6"/>
  <c r="AB12" i="6"/>
  <c r="AB24" i="6"/>
  <c r="AB13" i="6"/>
  <c r="AB19" i="6"/>
  <c r="AB15" i="6"/>
  <c r="AB10" i="6"/>
  <c r="AB25" i="6"/>
  <c r="AB22" i="6"/>
  <c r="AB20" i="6"/>
  <c r="AB16" i="6"/>
  <c r="AB26" i="6"/>
  <c r="AB21" i="6"/>
  <c r="AB17" i="6"/>
  <c r="AB11" i="6"/>
  <c r="Z76" i="6"/>
  <c r="Z52" i="6"/>
  <c r="AA28" i="6"/>
  <c r="AA40" i="4"/>
  <c r="AA83" i="4" s="1"/>
  <c r="AB39" i="4"/>
  <c r="AB82" i="4" s="1"/>
  <c r="Y26" i="2"/>
  <c r="Y6" i="3"/>
  <c r="Y30" i="2"/>
  <c r="AB35" i="4"/>
  <c r="AB78" i="4" s="1"/>
  <c r="AB36" i="4"/>
  <c r="AB79" i="4" s="1"/>
  <c r="AB34" i="4"/>
  <c r="AB77" i="4" s="1"/>
  <c r="AB38" i="4"/>
  <c r="AB81" i="4" s="1"/>
  <c r="W9" i="5"/>
  <c r="W11" i="2"/>
  <c r="U9" i="2"/>
  <c r="U9" i="3"/>
  <c r="S7" i="47" s="1"/>
  <c r="S23" i="47" s="1"/>
  <c r="V10" i="2"/>
  <c r="V12" i="2"/>
  <c r="AC3" i="6"/>
  <c r="AC18" i="6" s="1"/>
  <c r="AF4" i="8"/>
  <c r="AH14" i="9"/>
  <c r="AI6" i="9"/>
  <c r="AJ6" i="9" s="1"/>
  <c r="AK6" i="9" s="1"/>
  <c r="AL6" i="9" s="1"/>
  <c r="AM6" i="9" s="1"/>
  <c r="AN6" i="9" s="1"/>
  <c r="AH4" i="13"/>
  <c r="AH5" i="13" s="1"/>
  <c r="AD1" i="6"/>
  <c r="AD1" i="13"/>
  <c r="AC12" i="8"/>
  <c r="AD10" i="8" s="1"/>
  <c r="AD11" i="8" s="1"/>
  <c r="AC3" i="9"/>
  <c r="AB3" i="8"/>
  <c r="AB25" i="8" s="1"/>
  <c r="AC3" i="5"/>
  <c r="AC3" i="4"/>
  <c r="AC3" i="7"/>
  <c r="AC3" i="3"/>
  <c r="AF9" i="8"/>
  <c r="AD1" i="9"/>
  <c r="AC1" i="8"/>
  <c r="AD1" i="7"/>
  <c r="AD1" i="5"/>
  <c r="AD1" i="4"/>
  <c r="AD1" i="3"/>
  <c r="AD3" i="2"/>
  <c r="AE1" i="2"/>
  <c r="Y26" i="5" l="1"/>
  <c r="Y12" i="5" s="1"/>
  <c r="Y15" i="2" s="1"/>
  <c r="Y16" i="2" s="1"/>
  <c r="Y25" i="5"/>
  <c r="Y11" i="5" s="1"/>
  <c r="Y13" i="2" s="1"/>
  <c r="Y14" i="2" s="1"/>
  <c r="X24" i="2"/>
  <c r="X10" i="3" s="1"/>
  <c r="V8" i="47" s="1"/>
  <c r="V24" i="47" s="1"/>
  <c r="F40" i="47" s="1"/>
  <c r="W10" i="3"/>
  <c r="U8" i="47" s="1"/>
  <c r="U24" i="47" s="1"/>
  <c r="U6" i="46"/>
  <c r="U19" i="46" s="1"/>
  <c r="X5" i="3"/>
  <c r="V3" i="47" s="1"/>
  <c r="V19" i="47" s="1"/>
  <c r="F35" i="47" s="1"/>
  <c r="V4" i="47"/>
  <c r="V20" i="47" s="1"/>
  <c r="F36" i="47" s="1"/>
  <c r="T32" i="2"/>
  <c r="R5" i="46"/>
  <c r="R18" i="46" s="1"/>
  <c r="Y5" i="3"/>
  <c r="W3" i="47" s="1"/>
  <c r="W19" i="47" s="1"/>
  <c r="W4" i="47"/>
  <c r="W20" i="47" s="1"/>
  <c r="U20" i="2"/>
  <c r="U32" i="2" s="1"/>
  <c r="S4" i="46"/>
  <c r="S17" i="46" s="1"/>
  <c r="S33" i="2"/>
  <c r="Q7" i="46"/>
  <c r="Q20" i="46" s="1"/>
  <c r="E34" i="46" s="1"/>
  <c r="AC66" i="6"/>
  <c r="AC42" i="6"/>
  <c r="X23" i="5"/>
  <c r="AA62" i="4"/>
  <c r="AA51" i="4"/>
  <c r="AB47" i="4"/>
  <c r="AB58" i="4"/>
  <c r="AB44" i="4"/>
  <c r="AB55" i="4"/>
  <c r="AB54" i="4"/>
  <c r="AB43" i="4"/>
  <c r="AB45" i="4"/>
  <c r="AB56" i="4"/>
  <c r="AB61" i="4"/>
  <c r="AB50" i="4"/>
  <c r="AB57" i="4"/>
  <c r="AB46" i="4"/>
  <c r="AB49" i="4"/>
  <c r="AB60" i="4"/>
  <c r="AB59" i="4"/>
  <c r="AB48" i="4"/>
  <c r="Z8" i="4"/>
  <c r="Z7" i="2"/>
  <c r="Z5" i="2" s="1"/>
  <c r="AA7" i="4"/>
  <c r="AA21" i="5" s="1"/>
  <c r="AC33" i="4"/>
  <c r="AC76" i="4" s="1"/>
  <c r="AC37" i="4"/>
  <c r="AC80" i="4" s="1"/>
  <c r="Z27" i="2"/>
  <c r="Z28" i="2" s="1"/>
  <c r="AB73" i="6"/>
  <c r="AB49" i="6"/>
  <c r="AB40" i="6"/>
  <c r="AB64" i="6"/>
  <c r="AB39" i="6"/>
  <c r="AB63" i="6"/>
  <c r="AB46" i="6"/>
  <c r="AB70" i="6"/>
  <c r="AB58" i="6"/>
  <c r="AB34" i="6"/>
  <c r="AB48" i="6"/>
  <c r="AB72" i="6"/>
  <c r="AB67" i="6"/>
  <c r="AB43" i="6"/>
  <c r="AB60" i="6"/>
  <c r="AB36" i="6"/>
  <c r="AB57" i="6"/>
  <c r="AB33" i="6"/>
  <c r="AB74" i="6"/>
  <c r="AB50" i="6"/>
  <c r="AB61" i="6"/>
  <c r="AB37" i="6"/>
  <c r="AB47" i="6"/>
  <c r="AB71" i="6"/>
  <c r="AB59" i="6"/>
  <c r="AB35" i="6"/>
  <c r="AB65" i="6"/>
  <c r="AB41" i="6"/>
  <c r="AB68" i="6"/>
  <c r="AB44" i="6"/>
  <c r="AB69" i="6"/>
  <c r="AB45" i="6"/>
  <c r="AC32" i="4"/>
  <c r="AC75" i="4" s="1"/>
  <c r="AC22" i="6"/>
  <c r="AC12" i="6"/>
  <c r="AC9" i="6"/>
  <c r="AC16" i="6"/>
  <c r="AC11" i="6"/>
  <c r="AC23" i="6"/>
  <c r="AC24" i="6"/>
  <c r="AC13" i="6"/>
  <c r="AC10" i="6"/>
  <c r="AC19" i="6"/>
  <c r="AC15" i="6"/>
  <c r="AC25" i="6"/>
  <c r="AC17" i="6"/>
  <c r="AC20" i="6"/>
  <c r="AC21" i="6"/>
  <c r="AC26" i="6"/>
  <c r="AA76" i="6"/>
  <c r="AA52" i="6"/>
  <c r="AA27" i="2" s="1"/>
  <c r="Y24" i="2"/>
  <c r="AB28" i="6"/>
  <c r="AB40" i="4"/>
  <c r="AB83" i="4" s="1"/>
  <c r="AC39" i="4"/>
  <c r="AC82" i="4" s="1"/>
  <c r="X11" i="2"/>
  <c r="X9" i="5"/>
  <c r="Y10" i="5"/>
  <c r="Z26" i="5"/>
  <c r="Z12" i="5" s="1"/>
  <c r="Z15" i="2" s="1"/>
  <c r="Z24" i="5"/>
  <c r="Z25" i="5"/>
  <c r="Z11" i="5" s="1"/>
  <c r="Z13" i="2" s="1"/>
  <c r="V9" i="3"/>
  <c r="T7" i="47" s="1"/>
  <c r="T23" i="47" s="1"/>
  <c r="V9" i="2"/>
  <c r="W12" i="2"/>
  <c r="W10" i="2"/>
  <c r="AC34" i="4"/>
  <c r="AC77" i="4" s="1"/>
  <c r="AC35" i="4"/>
  <c r="AC78" i="4" s="1"/>
  <c r="AC36" i="4"/>
  <c r="AC79" i="4" s="1"/>
  <c r="AC38" i="4"/>
  <c r="AC81" i="4" s="1"/>
  <c r="AD3" i="6"/>
  <c r="AD18" i="6" s="1"/>
  <c r="AI14" i="9"/>
  <c r="AG4" i="8"/>
  <c r="AE1" i="6"/>
  <c r="AE1" i="13"/>
  <c r="AD12" i="8"/>
  <c r="AE10" i="8" s="1"/>
  <c r="AE11" i="8" s="1"/>
  <c r="AG9" i="8"/>
  <c r="AE1" i="9"/>
  <c r="AD1" i="8"/>
  <c r="AE1" i="7"/>
  <c r="AE1" i="4"/>
  <c r="AE1" i="5"/>
  <c r="AE3" i="2"/>
  <c r="AE1" i="3"/>
  <c r="AF1" i="2"/>
  <c r="AD3" i="9"/>
  <c r="AC3" i="8"/>
  <c r="AC25" i="8" s="1"/>
  <c r="AD3" i="7"/>
  <c r="AD3" i="5"/>
  <c r="AD3" i="4"/>
  <c r="AD3" i="3"/>
  <c r="V6" i="46" l="1"/>
  <c r="V19" i="46" s="1"/>
  <c r="F33" i="46" s="1"/>
  <c r="Y23" i="5"/>
  <c r="Y10" i="3"/>
  <c r="W8" i="47" s="1"/>
  <c r="W24" i="47" s="1"/>
  <c r="W6" i="46"/>
  <c r="W19" i="46" s="1"/>
  <c r="T33" i="2"/>
  <c r="R7" i="46"/>
  <c r="R20" i="46" s="1"/>
  <c r="V20" i="2"/>
  <c r="T4" i="46"/>
  <c r="T17" i="46" s="1"/>
  <c r="U33" i="2"/>
  <c r="S7" i="46"/>
  <c r="S20" i="46" s="1"/>
  <c r="U21" i="2"/>
  <c r="S5" i="46"/>
  <c r="S18" i="46" s="1"/>
  <c r="Z6" i="3"/>
  <c r="X3" i="46"/>
  <c r="X16" i="46" s="1"/>
  <c r="AD42" i="6"/>
  <c r="AD66" i="6"/>
  <c r="AB62" i="4"/>
  <c r="AB51" i="4"/>
  <c r="AB7" i="4" s="1"/>
  <c r="AB21" i="5" s="1"/>
  <c r="Z26" i="2"/>
  <c r="AC61" i="4"/>
  <c r="AC50" i="4"/>
  <c r="AC56" i="4"/>
  <c r="AC45" i="4"/>
  <c r="AC59" i="4"/>
  <c r="AC48" i="4"/>
  <c r="AC44" i="4"/>
  <c r="AC55" i="4"/>
  <c r="AC49" i="4"/>
  <c r="AC60" i="4"/>
  <c r="AC47" i="4"/>
  <c r="AC58" i="4"/>
  <c r="AC57" i="4"/>
  <c r="AC46" i="4"/>
  <c r="AC54" i="4"/>
  <c r="AC43" i="4"/>
  <c r="Z30" i="2"/>
  <c r="Z16" i="2"/>
  <c r="Z14" i="2"/>
  <c r="AD33" i="4"/>
  <c r="AD76" i="4" s="1"/>
  <c r="AD37" i="4"/>
  <c r="AD80" i="4" s="1"/>
  <c r="AA7" i="2"/>
  <c r="AA5" i="2" s="1"/>
  <c r="AA8" i="4"/>
  <c r="AC49" i="6"/>
  <c r="AC73" i="6"/>
  <c r="AC37" i="6"/>
  <c r="AC61" i="6"/>
  <c r="AC65" i="6"/>
  <c r="AC41" i="6"/>
  <c r="AC72" i="6"/>
  <c r="AC48" i="6"/>
  <c r="AC47" i="6"/>
  <c r="AC71" i="6"/>
  <c r="AC59" i="6"/>
  <c r="AC35" i="6"/>
  <c r="AC64" i="6"/>
  <c r="AC40" i="6"/>
  <c r="AC39" i="6"/>
  <c r="AC63" i="6"/>
  <c r="AC57" i="6"/>
  <c r="AC33" i="6"/>
  <c r="AC67" i="6"/>
  <c r="AC43" i="6"/>
  <c r="AC36" i="6"/>
  <c r="AC60" i="6"/>
  <c r="AC58" i="6"/>
  <c r="AC34" i="6"/>
  <c r="AC46" i="6"/>
  <c r="AC70" i="6"/>
  <c r="AC74" i="6"/>
  <c r="AC50" i="6"/>
  <c r="AC44" i="6"/>
  <c r="AC68" i="6"/>
  <c r="AC45" i="6"/>
  <c r="AC69" i="6"/>
  <c r="AA28" i="2"/>
  <c r="AD32" i="4"/>
  <c r="AD75" i="4" s="1"/>
  <c r="AD11" i="6"/>
  <c r="AD20" i="6"/>
  <c r="AD22" i="6"/>
  <c r="AD26" i="6"/>
  <c r="AD23" i="6"/>
  <c r="AD12" i="6"/>
  <c r="AD9" i="6"/>
  <c r="AD24" i="6"/>
  <c r="AD13" i="6"/>
  <c r="AD16" i="6"/>
  <c r="AD19" i="6"/>
  <c r="AD15" i="6"/>
  <c r="AD25" i="6"/>
  <c r="AD21" i="6"/>
  <c r="AD17" i="6"/>
  <c r="AD10" i="6"/>
  <c r="AB76" i="6"/>
  <c r="AB52" i="6"/>
  <c r="AB27" i="2" s="1"/>
  <c r="AC28" i="6"/>
  <c r="AC40" i="4"/>
  <c r="AC83" i="4" s="1"/>
  <c r="AD39" i="4"/>
  <c r="AD82" i="4" s="1"/>
  <c r="W9" i="3"/>
  <c r="U7" i="47" s="1"/>
  <c r="U23" i="47" s="1"/>
  <c r="W9" i="2"/>
  <c r="Z10" i="5"/>
  <c r="Z23" i="5"/>
  <c r="AA24" i="5"/>
  <c r="AA25" i="5"/>
  <c r="AA11" i="5" s="1"/>
  <c r="AA13" i="2" s="1"/>
  <c r="AA26" i="5"/>
  <c r="AA12" i="5" s="1"/>
  <c r="AA15" i="2" s="1"/>
  <c r="Y9" i="5"/>
  <c r="Y11" i="2"/>
  <c r="AD34" i="4"/>
  <c r="AD77" i="4" s="1"/>
  <c r="AD35" i="4"/>
  <c r="AD78" i="4" s="1"/>
  <c r="AD36" i="4"/>
  <c r="AD79" i="4" s="1"/>
  <c r="AD38" i="4"/>
  <c r="AD81" i="4" s="1"/>
  <c r="X10" i="2"/>
  <c r="X12" i="2"/>
  <c r="AE3" i="6"/>
  <c r="AE18" i="6" s="1"/>
  <c r="AJ14" i="9"/>
  <c r="AH4" i="8"/>
  <c r="AF1" i="6"/>
  <c r="AF1" i="13"/>
  <c r="AF1" i="9"/>
  <c r="AE1" i="8"/>
  <c r="AF1" i="7"/>
  <c r="AF1" i="3"/>
  <c r="AF1" i="4"/>
  <c r="AF1" i="5"/>
  <c r="AF3" i="2"/>
  <c r="AG1" i="2"/>
  <c r="AH9" i="8"/>
  <c r="AE3" i="9"/>
  <c r="AD3" i="8"/>
  <c r="AD25" i="8" s="1"/>
  <c r="AE3" i="7"/>
  <c r="AE3" i="3"/>
  <c r="AE3" i="4"/>
  <c r="AE3" i="5"/>
  <c r="AE12" i="8"/>
  <c r="AF10" i="8" s="1"/>
  <c r="AF11" i="8" s="1"/>
  <c r="W20" i="2" l="1"/>
  <c r="W21" i="2" s="1"/>
  <c r="U4" i="46"/>
  <c r="U17" i="46" s="1"/>
  <c r="Z5" i="3"/>
  <c r="X3" i="47" s="1"/>
  <c r="X19" i="47" s="1"/>
  <c r="X4" i="47"/>
  <c r="X20" i="47" s="1"/>
  <c r="V32" i="2"/>
  <c r="T5" i="46"/>
  <c r="T18" i="46" s="1"/>
  <c r="V21" i="2"/>
  <c r="AA26" i="2"/>
  <c r="Y3" i="46"/>
  <c r="Y16" i="46" s="1"/>
  <c r="AE42" i="6"/>
  <c r="AE66" i="6"/>
  <c r="Z24" i="2"/>
  <c r="AC62" i="4"/>
  <c r="AC51" i="4"/>
  <c r="AD44" i="4"/>
  <c r="AD55" i="4"/>
  <c r="AD56" i="4"/>
  <c r="AD45" i="4"/>
  <c r="AD46" i="4"/>
  <c r="AD57" i="4"/>
  <c r="AD54" i="4"/>
  <c r="AD43" i="4"/>
  <c r="AD59" i="4"/>
  <c r="AD48" i="4"/>
  <c r="AD60" i="4"/>
  <c r="AD49" i="4"/>
  <c r="AD61" i="4"/>
  <c r="AD50" i="4"/>
  <c r="AD47" i="4"/>
  <c r="AD58" i="4"/>
  <c r="AB7" i="2"/>
  <c r="AB5" i="2" s="1"/>
  <c r="AB8" i="4"/>
  <c r="AC7" i="4"/>
  <c r="AC21" i="5" s="1"/>
  <c r="AE33" i="4"/>
  <c r="AE76" i="4" s="1"/>
  <c r="AE37" i="4"/>
  <c r="AE80" i="4" s="1"/>
  <c r="AA6" i="3"/>
  <c r="AA16" i="2"/>
  <c r="AA30" i="2"/>
  <c r="AA14" i="2"/>
  <c r="AD64" i="6"/>
  <c r="AD40" i="6"/>
  <c r="AD37" i="6"/>
  <c r="AD61" i="6"/>
  <c r="AD72" i="6"/>
  <c r="AD48" i="6"/>
  <c r="AD57" i="6"/>
  <c r="AD33" i="6"/>
  <c r="AD60" i="6"/>
  <c r="AD36" i="6"/>
  <c r="AD73" i="6"/>
  <c r="AD49" i="6"/>
  <c r="AD39" i="6"/>
  <c r="AD63" i="6"/>
  <c r="AD47" i="6"/>
  <c r="AD71" i="6"/>
  <c r="AD46" i="6"/>
  <c r="AD70" i="6"/>
  <c r="AD68" i="6"/>
  <c r="AD44" i="6"/>
  <c r="AD59" i="6"/>
  <c r="AD35" i="6"/>
  <c r="AD67" i="6"/>
  <c r="AD43" i="6"/>
  <c r="AD58" i="6"/>
  <c r="AD34" i="6"/>
  <c r="AD74" i="6"/>
  <c r="AD50" i="6"/>
  <c r="AD65" i="6"/>
  <c r="AD41" i="6"/>
  <c r="AD45" i="6"/>
  <c r="AD69" i="6"/>
  <c r="AB28" i="2"/>
  <c r="AE32" i="4"/>
  <c r="AE75" i="4" s="1"/>
  <c r="AE11" i="6"/>
  <c r="AE22" i="6"/>
  <c r="AE25" i="6"/>
  <c r="AE23" i="6"/>
  <c r="AE12" i="6"/>
  <c r="AE9" i="6"/>
  <c r="AE13" i="6"/>
  <c r="AE24" i="6"/>
  <c r="AE19" i="6"/>
  <c r="AE15" i="6"/>
  <c r="AE10" i="6"/>
  <c r="AE21" i="6"/>
  <c r="AE20" i="6"/>
  <c r="AE16" i="6"/>
  <c r="AE17" i="6"/>
  <c r="AE26" i="6"/>
  <c r="AC52" i="6"/>
  <c r="AC27" i="2" s="1"/>
  <c r="AC76" i="6"/>
  <c r="AD28" i="6"/>
  <c r="AE39" i="4"/>
  <c r="AE82" i="4" s="1"/>
  <c r="AD40" i="4"/>
  <c r="AD83" i="4" s="1"/>
  <c r="AA10" i="5"/>
  <c r="AA23" i="5"/>
  <c r="AB25" i="5"/>
  <c r="AB11" i="5" s="1"/>
  <c r="AB13" i="2" s="1"/>
  <c r="AB24" i="5"/>
  <c r="AB26" i="5"/>
  <c r="AB12" i="5" s="1"/>
  <c r="AB15" i="2" s="1"/>
  <c r="X9" i="3"/>
  <c r="V7" i="47" s="1"/>
  <c r="V23" i="47" s="1"/>
  <c r="F39" i="47" s="1"/>
  <c r="X9" i="2"/>
  <c r="Y10" i="2"/>
  <c r="Y12" i="2"/>
  <c r="AE38" i="4"/>
  <c r="AE81" i="4" s="1"/>
  <c r="AE34" i="4"/>
  <c r="AE77" i="4" s="1"/>
  <c r="AE35" i="4"/>
  <c r="AE78" i="4" s="1"/>
  <c r="AE36" i="4"/>
  <c r="AE79" i="4" s="1"/>
  <c r="Z11" i="2"/>
  <c r="Z9" i="5"/>
  <c r="AF3" i="6"/>
  <c r="AF18" i="6" s="1"/>
  <c r="AK14" i="9"/>
  <c r="AI4" i="8"/>
  <c r="AG1" i="6"/>
  <c r="AG1" i="13"/>
  <c r="AF12" i="8"/>
  <c r="AG10" i="8" s="1"/>
  <c r="AG11" i="8" s="1"/>
  <c r="AI9" i="8"/>
  <c r="AG1" i="9"/>
  <c r="AG1" i="7"/>
  <c r="AG1" i="3"/>
  <c r="AF1" i="8"/>
  <c r="AG1" i="5"/>
  <c r="AG1" i="4"/>
  <c r="AG3" i="2"/>
  <c r="AH1" i="2"/>
  <c r="AF3" i="9"/>
  <c r="AE3" i="8"/>
  <c r="AE25" i="8" s="1"/>
  <c r="AF3" i="7"/>
  <c r="AF3" i="3"/>
  <c r="AF3" i="4"/>
  <c r="AF3" i="5"/>
  <c r="AA24" i="2" l="1"/>
  <c r="AA10" i="3" s="1"/>
  <c r="Y8" i="47" s="1"/>
  <c r="Y24" i="47" s="1"/>
  <c r="X20" i="2"/>
  <c r="X21" i="2" s="1"/>
  <c r="V4" i="46"/>
  <c r="V17" i="46" s="1"/>
  <c r="F31" i="46" s="1"/>
  <c r="AA5" i="3"/>
  <c r="Y3" i="47" s="1"/>
  <c r="Y19" i="47" s="1"/>
  <c r="Y4" i="47"/>
  <c r="Y20" i="47" s="1"/>
  <c r="V33" i="2"/>
  <c r="T7" i="46"/>
  <c r="T20" i="46" s="1"/>
  <c r="Z10" i="3"/>
  <c r="X8" i="47" s="1"/>
  <c r="X24" i="47" s="1"/>
  <c r="X6" i="46"/>
  <c r="X19" i="46" s="1"/>
  <c r="AB6" i="3"/>
  <c r="Z3" i="46"/>
  <c r="Z16" i="46" s="1"/>
  <c r="W32" i="2"/>
  <c r="U5" i="46"/>
  <c r="U18" i="46" s="1"/>
  <c r="AF42" i="6"/>
  <c r="AF66" i="6"/>
  <c r="AD62" i="4"/>
  <c r="AD51" i="4"/>
  <c r="AD7" i="4" s="1"/>
  <c r="AD21" i="5" s="1"/>
  <c r="AE60" i="4"/>
  <c r="AE49" i="4"/>
  <c r="AE59" i="4"/>
  <c r="AE48" i="4"/>
  <c r="AE44" i="4"/>
  <c r="AE55" i="4"/>
  <c r="AE56" i="4"/>
  <c r="AE45" i="4"/>
  <c r="AE43" i="4"/>
  <c r="AE54" i="4"/>
  <c r="AE50" i="4"/>
  <c r="AE61" i="4"/>
  <c r="AE58" i="4"/>
  <c r="AE47" i="4"/>
  <c r="AE46" i="4"/>
  <c r="AE57" i="4"/>
  <c r="AB26" i="2"/>
  <c r="AB16" i="2"/>
  <c r="AB14" i="2"/>
  <c r="AB30" i="2"/>
  <c r="AC7" i="2"/>
  <c r="AC5" i="2" s="1"/>
  <c r="AC8" i="4"/>
  <c r="AF33" i="4"/>
  <c r="AF76" i="4" s="1"/>
  <c r="AF37" i="4"/>
  <c r="AF80" i="4" s="1"/>
  <c r="AE63" i="6"/>
  <c r="AE39" i="6"/>
  <c r="AE43" i="6"/>
  <c r="AE67" i="6"/>
  <c r="AE45" i="6"/>
  <c r="AE69" i="6"/>
  <c r="AE57" i="6"/>
  <c r="AE33" i="6"/>
  <c r="AE44" i="6"/>
  <c r="AE68" i="6"/>
  <c r="AE36" i="6"/>
  <c r="AE60" i="6"/>
  <c r="AE71" i="6"/>
  <c r="AE47" i="6"/>
  <c r="AE72" i="6"/>
  <c r="AE48" i="6"/>
  <c r="AE73" i="6"/>
  <c r="AE49" i="6"/>
  <c r="AE46" i="6"/>
  <c r="AE70" i="6"/>
  <c r="AE58" i="6"/>
  <c r="AE34" i="6"/>
  <c r="AE37" i="6"/>
  <c r="AE61" i="6"/>
  <c r="AE35" i="6"/>
  <c r="AE59" i="6"/>
  <c r="AE74" i="6"/>
  <c r="AE50" i="6"/>
  <c r="AE65" i="6"/>
  <c r="AE41" i="6"/>
  <c r="AE40" i="6"/>
  <c r="AE64" i="6"/>
  <c r="AC28" i="2"/>
  <c r="AF32" i="4"/>
  <c r="AF75" i="4" s="1"/>
  <c r="AF21" i="6"/>
  <c r="AF17" i="6"/>
  <c r="AF10" i="6"/>
  <c r="AF11" i="6"/>
  <c r="AF22" i="6"/>
  <c r="AF20" i="6"/>
  <c r="AF9" i="6"/>
  <c r="AF15" i="6"/>
  <c r="AF23" i="6"/>
  <c r="AF12" i="6"/>
  <c r="AF24" i="6"/>
  <c r="AF13" i="6"/>
  <c r="AF19" i="6"/>
  <c r="AF26" i="6"/>
  <c r="AF16" i="6"/>
  <c r="AF25" i="6"/>
  <c r="AD76" i="6"/>
  <c r="AD52" i="6"/>
  <c r="AD27" i="2" s="1"/>
  <c r="AE28" i="6"/>
  <c r="AF39" i="4"/>
  <c r="AF82" i="4" s="1"/>
  <c r="AE40" i="4"/>
  <c r="AE83" i="4" s="1"/>
  <c r="AB10" i="5"/>
  <c r="AB23" i="5"/>
  <c r="AA9" i="5"/>
  <c r="AA11" i="2"/>
  <c r="AF36" i="4"/>
  <c r="AF79" i="4" s="1"/>
  <c r="AF38" i="4"/>
  <c r="AF81" i="4" s="1"/>
  <c r="AF34" i="4"/>
  <c r="AF77" i="4" s="1"/>
  <c r="AF35" i="4"/>
  <c r="AF78" i="4" s="1"/>
  <c r="Y9" i="2"/>
  <c r="Y9" i="3"/>
  <c r="W7" i="47" s="1"/>
  <c r="W23" i="47" s="1"/>
  <c r="Z12" i="2"/>
  <c r="Z10" i="2"/>
  <c r="AC24" i="5"/>
  <c r="AC25" i="5"/>
  <c r="AC11" i="5" s="1"/>
  <c r="AC13" i="2" s="1"/>
  <c r="AC26" i="5"/>
  <c r="AC12" i="5" s="1"/>
  <c r="AC15" i="2" s="1"/>
  <c r="AG3" i="6"/>
  <c r="AG18" i="6" s="1"/>
  <c r="AJ4" i="8"/>
  <c r="AL14" i="9"/>
  <c r="AH1" i="6"/>
  <c r="AH1" i="13"/>
  <c r="AG12" i="8"/>
  <c r="AH10" i="8" s="1"/>
  <c r="AH11" i="8" s="1"/>
  <c r="AH1" i="9"/>
  <c r="AH1" i="7"/>
  <c r="AG1" i="8"/>
  <c r="AH1" i="5"/>
  <c r="AH1" i="4"/>
  <c r="AH1" i="3"/>
  <c r="AI1" i="2"/>
  <c r="AH3" i="2"/>
  <c r="AG3" i="9"/>
  <c r="AG3" i="7"/>
  <c r="AF3" i="8"/>
  <c r="AF25" i="8" s="1"/>
  <c r="AG3" i="3"/>
  <c r="AG3" i="5"/>
  <c r="AG3" i="4"/>
  <c r="AJ9" i="8"/>
  <c r="Y6" i="46" l="1"/>
  <c r="Y19" i="46" s="1"/>
  <c r="Y20" i="2"/>
  <c r="Y32" i="2" s="1"/>
  <c r="W4" i="46"/>
  <c r="W17" i="46" s="1"/>
  <c r="W33" i="2"/>
  <c r="U7" i="46"/>
  <c r="U20" i="46" s="1"/>
  <c r="AB5" i="3"/>
  <c r="Z3" i="47" s="1"/>
  <c r="Z19" i="47" s="1"/>
  <c r="Z4" i="47"/>
  <c r="Z20" i="47" s="1"/>
  <c r="AC30" i="2"/>
  <c r="AA3" i="46"/>
  <c r="AA16" i="46" s="1"/>
  <c r="G30" i="46" s="1"/>
  <c r="X32" i="2"/>
  <c r="V5" i="46"/>
  <c r="V18" i="46" s="1"/>
  <c r="F32" i="46" s="1"/>
  <c r="AG42" i="6"/>
  <c r="AG66" i="6"/>
  <c r="AE51" i="4"/>
  <c r="AE62" i="4"/>
  <c r="AF46" i="4"/>
  <c r="AF57" i="4"/>
  <c r="AF56" i="4"/>
  <c r="AF45" i="4"/>
  <c r="AF60" i="4"/>
  <c r="AF49" i="4"/>
  <c r="AF48" i="4"/>
  <c r="AF59" i="4"/>
  <c r="AF58" i="4"/>
  <c r="AF47" i="4"/>
  <c r="AF50" i="4"/>
  <c r="AF61" i="4"/>
  <c r="AF55" i="4"/>
  <c r="AF44" i="4"/>
  <c r="AF43" i="4"/>
  <c r="AF54" i="4"/>
  <c r="AB24" i="2"/>
  <c r="AC14" i="2"/>
  <c r="AC6" i="3"/>
  <c r="AC26" i="2"/>
  <c r="AC16" i="2"/>
  <c r="AD8" i="4"/>
  <c r="AD7" i="2"/>
  <c r="AD5" i="2" s="1"/>
  <c r="AE7" i="4"/>
  <c r="AE21" i="5" s="1"/>
  <c r="AG33" i="4"/>
  <c r="AG76" i="4" s="1"/>
  <c r="AG37" i="4"/>
  <c r="AG80" i="4" s="1"/>
  <c r="AF36" i="6"/>
  <c r="AF60" i="6"/>
  <c r="AF57" i="6"/>
  <c r="AF33" i="6"/>
  <c r="AF44" i="6"/>
  <c r="AF68" i="6"/>
  <c r="AF63" i="6"/>
  <c r="AF39" i="6"/>
  <c r="AF46" i="6"/>
  <c r="AF70" i="6"/>
  <c r="AF59" i="6"/>
  <c r="AF35" i="6"/>
  <c r="AF37" i="6"/>
  <c r="AF61" i="6"/>
  <c r="AF58" i="6"/>
  <c r="AF34" i="6"/>
  <c r="AF65" i="6"/>
  <c r="AF41" i="6"/>
  <c r="AF72" i="6"/>
  <c r="AF48" i="6"/>
  <c r="AF45" i="6"/>
  <c r="AF69" i="6"/>
  <c r="AF67" i="6"/>
  <c r="AF43" i="6"/>
  <c r="AF71" i="6"/>
  <c r="AF47" i="6"/>
  <c r="AF73" i="6"/>
  <c r="AF49" i="6"/>
  <c r="AF64" i="6"/>
  <c r="AF40" i="6"/>
  <c r="AF74" i="6"/>
  <c r="AF50" i="6"/>
  <c r="AD28" i="2"/>
  <c r="AG32" i="4"/>
  <c r="AG75" i="4" s="1"/>
  <c r="AG26" i="6"/>
  <c r="AG11" i="6"/>
  <c r="AG21" i="6"/>
  <c r="AG17" i="6"/>
  <c r="AG10" i="6"/>
  <c r="AG15" i="6"/>
  <c r="AG22" i="6"/>
  <c r="AG25" i="6"/>
  <c r="AG23" i="6"/>
  <c r="AG12" i="6"/>
  <c r="AG9" i="6"/>
  <c r="AG24" i="6"/>
  <c r="AG13" i="6"/>
  <c r="AG19" i="6"/>
  <c r="AG20" i="6"/>
  <c r="AG16" i="6"/>
  <c r="AE52" i="6"/>
  <c r="AE27" i="2" s="1"/>
  <c r="AE76" i="6"/>
  <c r="AF28" i="6"/>
  <c r="AG39" i="4"/>
  <c r="AG82" i="4" s="1"/>
  <c r="AF40" i="4"/>
  <c r="AF83" i="4" s="1"/>
  <c r="AG38" i="4"/>
  <c r="AG81" i="4" s="1"/>
  <c r="AG34" i="4"/>
  <c r="AG77" i="4" s="1"/>
  <c r="AG36" i="4"/>
  <c r="AG79" i="4" s="1"/>
  <c r="AG35" i="4"/>
  <c r="AG78" i="4" s="1"/>
  <c r="AD25" i="5"/>
  <c r="AD11" i="5" s="1"/>
  <c r="AD13" i="2" s="1"/>
  <c r="AD26" i="5"/>
  <c r="AD12" i="5" s="1"/>
  <c r="AD15" i="2" s="1"/>
  <c r="AD24" i="5"/>
  <c r="AA12" i="2"/>
  <c r="AA10" i="2"/>
  <c r="Z9" i="3"/>
  <c r="X7" i="47" s="1"/>
  <c r="X23" i="47" s="1"/>
  <c r="Z9" i="2"/>
  <c r="AC10" i="5"/>
  <c r="AC23" i="5"/>
  <c r="AB11" i="2"/>
  <c r="AB9" i="5"/>
  <c r="AI1" i="6"/>
  <c r="AH3" i="6"/>
  <c r="AH18" i="6" s="1"/>
  <c r="AK4" i="8"/>
  <c r="AM14" i="9"/>
  <c r="AH12" i="8"/>
  <c r="AI10" i="8" s="1"/>
  <c r="AI11" i="8" s="1"/>
  <c r="AI1" i="9"/>
  <c r="AI1" i="7"/>
  <c r="AH1" i="8"/>
  <c r="AI1" i="5"/>
  <c r="AI1" i="4"/>
  <c r="AJ1" i="2"/>
  <c r="AI1" i="3"/>
  <c r="AI3" i="2"/>
  <c r="AK9" i="8"/>
  <c r="AH3" i="9"/>
  <c r="AH3" i="7"/>
  <c r="AH3" i="5"/>
  <c r="AH3" i="4"/>
  <c r="AG3" i="8"/>
  <c r="AG25" i="8" s="1"/>
  <c r="AH3" i="3"/>
  <c r="AD30" i="2" l="1"/>
  <c r="AB3" i="46"/>
  <c r="AB16" i="46" s="1"/>
  <c r="Z20" i="2"/>
  <c r="Z21" i="2" s="1"/>
  <c r="X4" i="46"/>
  <c r="X17" i="46" s="1"/>
  <c r="AC24" i="2"/>
  <c r="AC5" i="3"/>
  <c r="AA3" i="47" s="1"/>
  <c r="AA19" i="47" s="1"/>
  <c r="G35" i="47" s="1"/>
  <c r="AA4" i="47"/>
  <c r="AA20" i="47" s="1"/>
  <c r="G36" i="47" s="1"/>
  <c r="Y33" i="2"/>
  <c r="W7" i="46"/>
  <c r="W20" i="46" s="1"/>
  <c r="AB10" i="3"/>
  <c r="Z8" i="47" s="1"/>
  <c r="Z24" i="47" s="1"/>
  <c r="Z6" i="46"/>
  <c r="Z19" i="46" s="1"/>
  <c r="X33" i="2"/>
  <c r="V7" i="46"/>
  <c r="V20" i="46" s="1"/>
  <c r="F34" i="46" s="1"/>
  <c r="Y21" i="2"/>
  <c r="W5" i="46"/>
  <c r="W18" i="46" s="1"/>
  <c r="AH42" i="6"/>
  <c r="C42" i="6" s="1"/>
  <c r="AH66" i="6"/>
  <c r="C66" i="6" s="1"/>
  <c r="C18" i="6"/>
  <c r="AF62" i="4"/>
  <c r="AF51" i="4"/>
  <c r="AG60" i="4"/>
  <c r="AG49" i="4"/>
  <c r="AG43" i="4"/>
  <c r="AG54" i="4"/>
  <c r="AG50" i="4"/>
  <c r="AG61" i="4"/>
  <c r="AG48" i="4"/>
  <c r="AG59" i="4"/>
  <c r="AG55" i="4"/>
  <c r="AG44" i="4"/>
  <c r="AG45" i="4"/>
  <c r="AG56" i="4"/>
  <c r="AG46" i="4"/>
  <c r="AG57" i="4"/>
  <c r="AG58" i="4"/>
  <c r="AG47" i="4"/>
  <c r="AE8" i="4"/>
  <c r="AE7" i="2"/>
  <c r="AE5" i="2" s="1"/>
  <c r="AD14" i="2"/>
  <c r="AF7" i="4"/>
  <c r="AF7" i="2" s="1"/>
  <c r="AF5" i="2" s="1"/>
  <c r="AD3" i="46" s="1"/>
  <c r="AD16" i="46" s="1"/>
  <c r="AD26" i="2"/>
  <c r="AD16" i="2"/>
  <c r="AD6" i="3"/>
  <c r="AH33" i="4"/>
  <c r="AH76" i="4" s="1"/>
  <c r="AH37" i="4"/>
  <c r="AH80" i="4" s="1"/>
  <c r="AG36" i="6"/>
  <c r="AG60" i="6"/>
  <c r="AG71" i="6"/>
  <c r="AG47" i="6"/>
  <c r="AG73" i="6"/>
  <c r="AG49" i="6"/>
  <c r="AG39" i="6"/>
  <c r="AG63" i="6"/>
  <c r="AG58" i="6"/>
  <c r="AG34" i="6"/>
  <c r="AG57" i="6"/>
  <c r="AG33" i="6"/>
  <c r="AG65" i="6"/>
  <c r="AG41" i="6"/>
  <c r="AG45" i="6"/>
  <c r="AG69" i="6"/>
  <c r="AG72" i="6"/>
  <c r="AG48" i="6"/>
  <c r="AG35" i="6"/>
  <c r="AG59" i="6"/>
  <c r="AG74" i="6"/>
  <c r="AG50" i="6"/>
  <c r="AG64" i="6"/>
  <c r="AG40" i="6"/>
  <c r="AG44" i="6"/>
  <c r="AG68" i="6"/>
  <c r="AG43" i="6"/>
  <c r="AG67" i="6"/>
  <c r="AG70" i="6"/>
  <c r="AG46" i="6"/>
  <c r="AG37" i="6"/>
  <c r="AG61" i="6"/>
  <c r="AE28" i="2"/>
  <c r="AH32" i="4"/>
  <c r="AH75" i="4" s="1"/>
  <c r="AH17" i="6"/>
  <c r="AH10" i="6"/>
  <c r="AH24" i="6"/>
  <c r="AH26" i="6"/>
  <c r="AH21" i="6"/>
  <c r="AH11" i="6"/>
  <c r="AH22" i="6"/>
  <c r="AH20" i="6"/>
  <c r="AH12" i="6"/>
  <c r="AH9" i="6"/>
  <c r="AH23" i="6"/>
  <c r="AH13" i="6"/>
  <c r="AH16" i="6"/>
  <c r="AH19" i="6"/>
  <c r="AH15" i="6"/>
  <c r="AH25" i="6"/>
  <c r="AF76" i="6"/>
  <c r="AF52" i="6"/>
  <c r="AG28" i="6"/>
  <c r="AH39" i="4"/>
  <c r="AH82" i="4" s="1"/>
  <c r="AG40" i="4"/>
  <c r="AG83" i="4" s="1"/>
  <c r="AH35" i="4"/>
  <c r="AH78" i="4" s="1"/>
  <c r="AH36" i="4"/>
  <c r="AH79" i="4" s="1"/>
  <c r="AH38" i="4"/>
  <c r="AH81" i="4" s="1"/>
  <c r="AI37" i="4"/>
  <c r="AI80" i="4" s="1"/>
  <c r="AH34" i="4"/>
  <c r="AH77" i="4" s="1"/>
  <c r="AA9" i="2"/>
  <c r="AA9" i="3"/>
  <c r="Y7" i="47" s="1"/>
  <c r="Y23" i="47" s="1"/>
  <c r="AD10" i="5"/>
  <c r="AD23" i="5"/>
  <c r="AC9" i="5"/>
  <c r="AC11" i="2"/>
  <c r="AB10" i="2"/>
  <c r="AB12" i="2"/>
  <c r="AE26" i="5"/>
  <c r="AE12" i="5" s="1"/>
  <c r="AE15" i="2" s="1"/>
  <c r="AE25" i="5"/>
  <c r="AE11" i="5" s="1"/>
  <c r="AE13" i="2" s="1"/>
  <c r="AE24" i="5"/>
  <c r="AJ1" i="6"/>
  <c r="AI3" i="6"/>
  <c r="AI18" i="6" s="1"/>
  <c r="AN14" i="9"/>
  <c r="AM4" i="8" s="1"/>
  <c r="AL4" i="8"/>
  <c r="AI12" i="8"/>
  <c r="AJ10" i="8" s="1"/>
  <c r="AJ11" i="8" s="1"/>
  <c r="AI3" i="9"/>
  <c r="AI3" i="7"/>
  <c r="AH3" i="8"/>
  <c r="AH25" i="8" s="1"/>
  <c r="AI3" i="5"/>
  <c r="AI3" i="4"/>
  <c r="AI3" i="3"/>
  <c r="AL9" i="8"/>
  <c r="AJ1" i="9"/>
  <c r="AI1" i="8"/>
  <c r="AJ1" i="5"/>
  <c r="AJ1" i="4"/>
  <c r="AJ1" i="3"/>
  <c r="AJ1" i="7"/>
  <c r="AK1" i="2"/>
  <c r="AJ3" i="2"/>
  <c r="O4" i="45" l="1" a="1"/>
  <c r="O4" i="45" s="1"/>
  <c r="AJ4" i="45" s="1"/>
  <c r="R14" i="1"/>
  <c r="AD24" i="2"/>
  <c r="AB6" i="46" s="1"/>
  <c r="AB19" i="46" s="1"/>
  <c r="AE26" i="2"/>
  <c r="AC3" i="46"/>
  <c r="AC16" i="46" s="1"/>
  <c r="AD5" i="3"/>
  <c r="AB3" i="47" s="1"/>
  <c r="AB19" i="47" s="1"/>
  <c r="AB4" i="47"/>
  <c r="AB20" i="47" s="1"/>
  <c r="AC10" i="3"/>
  <c r="AA8" i="47" s="1"/>
  <c r="AA24" i="47" s="1"/>
  <c r="G40" i="47" s="1"/>
  <c r="AA6" i="46"/>
  <c r="AA19" i="46" s="1"/>
  <c r="G33" i="46" s="1"/>
  <c r="AA20" i="2"/>
  <c r="Y4" i="46"/>
  <c r="Y17" i="46" s="1"/>
  <c r="Z32" i="2"/>
  <c r="X5" i="46"/>
  <c r="X18" i="46" s="1"/>
  <c r="AI66" i="6"/>
  <c r="AI42" i="6"/>
  <c r="AG62" i="4"/>
  <c r="AG51" i="4"/>
  <c r="AG7" i="4" s="1"/>
  <c r="AG21" i="5" s="1"/>
  <c r="AH58" i="4"/>
  <c r="AH47" i="4"/>
  <c r="AH49" i="4"/>
  <c r="AH60" i="4"/>
  <c r="AH57" i="4"/>
  <c r="AH46" i="4"/>
  <c r="AH48" i="4"/>
  <c r="AH59" i="4"/>
  <c r="AI32" i="4"/>
  <c r="AI75" i="4" s="1"/>
  <c r="AH43" i="4"/>
  <c r="AH54" i="4"/>
  <c r="AH45" i="4"/>
  <c r="AH56" i="4"/>
  <c r="AH50" i="4"/>
  <c r="AH61" i="4"/>
  <c r="AI33" i="4"/>
  <c r="AI76" i="4" s="1"/>
  <c r="AH55" i="4"/>
  <c r="AH44" i="4"/>
  <c r="AJ37" i="4"/>
  <c r="AJ80" i="4" s="1"/>
  <c r="AI48" i="4"/>
  <c r="AI59" i="4"/>
  <c r="AE6" i="3"/>
  <c r="AF8" i="4"/>
  <c r="AF21" i="5"/>
  <c r="AF25" i="5" s="1"/>
  <c r="AF11" i="5" s="1"/>
  <c r="AF13" i="2" s="1"/>
  <c r="AF14" i="2" s="1"/>
  <c r="AE14" i="2"/>
  <c r="AE16" i="2"/>
  <c r="AE30" i="2"/>
  <c r="AK32" i="4"/>
  <c r="AK75" i="4" s="1"/>
  <c r="AK37" i="4"/>
  <c r="AK80" i="4" s="1"/>
  <c r="AK33" i="4"/>
  <c r="AK76" i="4" s="1"/>
  <c r="AF27" i="2"/>
  <c r="AF28" i="2" s="1"/>
  <c r="AH57" i="6"/>
  <c r="AH33" i="6"/>
  <c r="C33" i="6" s="1"/>
  <c r="AH37" i="6"/>
  <c r="AH61" i="6"/>
  <c r="AH44" i="6"/>
  <c r="AH68" i="6"/>
  <c r="AH35" i="6"/>
  <c r="AH59" i="6"/>
  <c r="AH45" i="6"/>
  <c r="AH69" i="6"/>
  <c r="AH64" i="6"/>
  <c r="AH40" i="6"/>
  <c r="AH70" i="6"/>
  <c r="AH46" i="6"/>
  <c r="AH74" i="6"/>
  <c r="AH50" i="6"/>
  <c r="AH36" i="6"/>
  <c r="AH60" i="6"/>
  <c r="AH72" i="6"/>
  <c r="AH48" i="6"/>
  <c r="AH58" i="6"/>
  <c r="C58" i="6" s="1"/>
  <c r="AH34" i="6"/>
  <c r="C34" i="6" s="1"/>
  <c r="AH65" i="6"/>
  <c r="AH41" i="6"/>
  <c r="AH73" i="6"/>
  <c r="AH49" i="6"/>
  <c r="AH71" i="6"/>
  <c r="AH47" i="6"/>
  <c r="AH63" i="6"/>
  <c r="AH39" i="6"/>
  <c r="AH43" i="6"/>
  <c r="AH67" i="6"/>
  <c r="C10" i="6"/>
  <c r="R6" i="1" s="1"/>
  <c r="AI35" i="4"/>
  <c r="AI78" i="4" s="1"/>
  <c r="AI39" i="4"/>
  <c r="AI82" i="4" s="1"/>
  <c r="AI36" i="4"/>
  <c r="AI79" i="4" s="1"/>
  <c r="AI34" i="4"/>
  <c r="AI77" i="4" s="1"/>
  <c r="AI38" i="4"/>
  <c r="AI81" i="4" s="1"/>
  <c r="AI13" i="6"/>
  <c r="AI26" i="6"/>
  <c r="AI24" i="6"/>
  <c r="AI25" i="6"/>
  <c r="AI17" i="6"/>
  <c r="AI19" i="6"/>
  <c r="AI15" i="6"/>
  <c r="AI11" i="6"/>
  <c r="AI12" i="6"/>
  <c r="AI10" i="6"/>
  <c r="AI22" i="6"/>
  <c r="AI20" i="6"/>
  <c r="AI16" i="6"/>
  <c r="AI9" i="6"/>
  <c r="AI23" i="6"/>
  <c r="AI21" i="6"/>
  <c r="AG76" i="6"/>
  <c r="AG52" i="6"/>
  <c r="AG27" i="2" s="1"/>
  <c r="C20" i="6"/>
  <c r="R16" i="1" s="1"/>
  <c r="C12" i="6"/>
  <c r="R8" i="1" s="1"/>
  <c r="C15" i="6"/>
  <c r="R11" i="1" s="1"/>
  <c r="C17" i="6"/>
  <c r="R13" i="1" s="1"/>
  <c r="C19" i="6"/>
  <c r="R15" i="1" s="1"/>
  <c r="C26" i="6"/>
  <c r="R22" i="1" s="1"/>
  <c r="C23" i="6"/>
  <c r="R19" i="1" s="1"/>
  <c r="C25" i="6"/>
  <c r="R21" i="1" s="1"/>
  <c r="C11" i="6"/>
  <c r="R7" i="1" s="1"/>
  <c r="C22" i="6"/>
  <c r="R18" i="1" s="1"/>
  <c r="C16" i="6"/>
  <c r="R12" i="1" s="1"/>
  <c r="C24" i="6"/>
  <c r="R20" i="1" s="1"/>
  <c r="C21" i="6"/>
  <c r="R17" i="1" s="1"/>
  <c r="C13" i="6"/>
  <c r="R9" i="1" s="1"/>
  <c r="AH40" i="4"/>
  <c r="C9" i="6"/>
  <c r="R5" i="1" s="1"/>
  <c r="AH28" i="6"/>
  <c r="AB9" i="3"/>
  <c r="Z7" i="47" s="1"/>
  <c r="Z23" i="47" s="1"/>
  <c r="AB9" i="2"/>
  <c r="AF26" i="2"/>
  <c r="AF6" i="3"/>
  <c r="AF30" i="2"/>
  <c r="AD9" i="5"/>
  <c r="AD11" i="2"/>
  <c r="AE10" i="5"/>
  <c r="AE23" i="5"/>
  <c r="AC10" i="2"/>
  <c r="AC12" i="2"/>
  <c r="AK1" i="6"/>
  <c r="AJ3" i="6"/>
  <c r="AJ18" i="6" s="1"/>
  <c r="AJ12" i="8"/>
  <c r="AK10" i="8" s="1"/>
  <c r="AK11" i="8" s="1"/>
  <c r="AJ3" i="9"/>
  <c r="AI3" i="8"/>
  <c r="AI25" i="8" s="1"/>
  <c r="AJ3" i="7"/>
  <c r="AJ3" i="5"/>
  <c r="AJ3" i="4"/>
  <c r="AJ3" i="3"/>
  <c r="AM9" i="8"/>
  <c r="AK1" i="9"/>
  <c r="AJ1" i="8"/>
  <c r="AK1" i="5"/>
  <c r="AK1" i="4"/>
  <c r="AK1" i="3"/>
  <c r="AK1" i="7"/>
  <c r="AK3" i="2"/>
  <c r="AL1" i="2"/>
  <c r="AH83" i="4" l="1"/>
  <c r="C40" i="4"/>
  <c r="V12" i="1" s="1"/>
  <c r="AD10" i="3"/>
  <c r="AB8" i="47" s="1"/>
  <c r="AB24" i="47" s="1"/>
  <c r="AE24" i="2"/>
  <c r="AE10" i="3" s="1"/>
  <c r="AC8" i="47" s="1"/>
  <c r="AC24" i="47" s="1"/>
  <c r="AA32" i="2"/>
  <c r="Y5" i="46"/>
  <c r="Y18" i="46" s="1"/>
  <c r="AF5" i="3"/>
  <c r="AD3" i="47" s="1"/>
  <c r="AD19" i="47" s="1"/>
  <c r="AD4" i="47"/>
  <c r="AD20" i="47" s="1"/>
  <c r="AB20" i="2"/>
  <c r="Z4" i="46"/>
  <c r="Z17" i="46" s="1"/>
  <c r="AE5" i="3"/>
  <c r="AC3" i="47" s="1"/>
  <c r="AC19" i="47" s="1"/>
  <c r="AC4" i="47"/>
  <c r="AC20" i="47" s="1"/>
  <c r="Z33" i="2"/>
  <c r="X7" i="46"/>
  <c r="X20" i="46" s="1"/>
  <c r="AA21" i="2"/>
  <c r="AJ66" i="6"/>
  <c r="AJ42" i="6"/>
  <c r="AH62" i="4"/>
  <c r="AH51" i="4"/>
  <c r="AL32" i="4"/>
  <c r="AL75" i="4" s="1"/>
  <c r="AK54" i="4"/>
  <c r="AK43" i="4"/>
  <c r="AJ33" i="4"/>
  <c r="AJ76" i="4" s="1"/>
  <c r="AI55" i="4"/>
  <c r="AI44" i="4"/>
  <c r="AJ34" i="4"/>
  <c r="AI45" i="4"/>
  <c r="AI56" i="4"/>
  <c r="AL33" i="4"/>
  <c r="AL76" i="4" s="1"/>
  <c r="AK44" i="4"/>
  <c r="AK55" i="4"/>
  <c r="AJ59" i="4"/>
  <c r="C59" i="4" s="1"/>
  <c r="AJ48" i="4"/>
  <c r="C48" i="4" s="1"/>
  <c r="AJ36" i="4"/>
  <c r="AI47" i="4"/>
  <c r="AI58" i="4"/>
  <c r="C37" i="4"/>
  <c r="C80" i="4" s="1"/>
  <c r="AL37" i="4"/>
  <c r="AL80" i="4" s="1"/>
  <c r="AK59" i="4"/>
  <c r="AK48" i="4"/>
  <c r="AJ39" i="4"/>
  <c r="AI61" i="4"/>
  <c r="AI50" i="4"/>
  <c r="AJ38" i="4"/>
  <c r="AI49" i="4"/>
  <c r="AI60" i="4"/>
  <c r="AJ35" i="4"/>
  <c r="AI57" i="4"/>
  <c r="AI46" i="4"/>
  <c r="AJ32" i="4"/>
  <c r="AJ75" i="4" s="1"/>
  <c r="AI54" i="4"/>
  <c r="AI43" i="4"/>
  <c r="AF26" i="5"/>
  <c r="AF12" i="5" s="1"/>
  <c r="AF15" i="2" s="1"/>
  <c r="AF16" i="2" s="1"/>
  <c r="AF24" i="5"/>
  <c r="AF10" i="5" s="1"/>
  <c r="AG7" i="2"/>
  <c r="AG5" i="2" s="1"/>
  <c r="AG8" i="4"/>
  <c r="AH7" i="4"/>
  <c r="AK39" i="4"/>
  <c r="AK82" i="4" s="1"/>
  <c r="AK36" i="4"/>
  <c r="AK79" i="4" s="1"/>
  <c r="AK35" i="4"/>
  <c r="AK78" i="4" s="1"/>
  <c r="AK38" i="4"/>
  <c r="AK81" i="4" s="1"/>
  <c r="AK34" i="4"/>
  <c r="AK77" i="4" s="1"/>
  <c r="AI41" i="6"/>
  <c r="AI65" i="6"/>
  <c r="AI72" i="6"/>
  <c r="AI48" i="6"/>
  <c r="AI61" i="6"/>
  <c r="AI37" i="6"/>
  <c r="AI35" i="6"/>
  <c r="AI59" i="6"/>
  <c r="AI69" i="6"/>
  <c r="AI45" i="6"/>
  <c r="AI71" i="6"/>
  <c r="AI47" i="6"/>
  <c r="AI50" i="6"/>
  <c r="AI74" i="6"/>
  <c r="AI57" i="6"/>
  <c r="AI33" i="6"/>
  <c r="AI64" i="6"/>
  <c r="AI40" i="6"/>
  <c r="AI63" i="6"/>
  <c r="AI39" i="6"/>
  <c r="AI44" i="6"/>
  <c r="AI68" i="6"/>
  <c r="AI70" i="6"/>
  <c r="AI46" i="6"/>
  <c r="AI43" i="6"/>
  <c r="AI67" i="6"/>
  <c r="AI73" i="6"/>
  <c r="AI49" i="6"/>
  <c r="AI34" i="6"/>
  <c r="AI58" i="6"/>
  <c r="AI36" i="6"/>
  <c r="AI60" i="6"/>
  <c r="AG28" i="2"/>
  <c r="AJ21" i="6"/>
  <c r="AJ17" i="6"/>
  <c r="AJ11" i="6"/>
  <c r="AJ24" i="6"/>
  <c r="AJ22" i="6"/>
  <c r="AJ10" i="6"/>
  <c r="AJ13" i="6"/>
  <c r="AJ19" i="6"/>
  <c r="AJ15" i="6"/>
  <c r="AJ26" i="6"/>
  <c r="AJ9" i="6"/>
  <c r="AJ12" i="6"/>
  <c r="AJ23" i="6"/>
  <c r="AJ16" i="6"/>
  <c r="AJ20" i="6"/>
  <c r="AJ25" i="6"/>
  <c r="AI28" i="6"/>
  <c r="C70" i="6"/>
  <c r="C46" i="6"/>
  <c r="C65" i="6"/>
  <c r="C41" i="6"/>
  <c r="C63" i="6"/>
  <c r="C39" i="6"/>
  <c r="C59" i="6"/>
  <c r="C35" i="6"/>
  <c r="AH52" i="6"/>
  <c r="C52" i="6" s="1"/>
  <c r="D34" i="6" s="1"/>
  <c r="C60" i="6"/>
  <c r="C36" i="6"/>
  <c r="C72" i="6"/>
  <c r="C48" i="6"/>
  <c r="D48" i="6" s="1"/>
  <c r="C57" i="6"/>
  <c r="C69" i="6"/>
  <c r="C45" i="6"/>
  <c r="D45" i="6" s="1"/>
  <c r="C74" i="6"/>
  <c r="C50" i="6"/>
  <c r="D50" i="6" s="1"/>
  <c r="C73" i="6"/>
  <c r="C49" i="6"/>
  <c r="C67" i="6"/>
  <c r="C43" i="6"/>
  <c r="C68" i="6"/>
  <c r="C44" i="6"/>
  <c r="D44" i="6" s="1"/>
  <c r="C61" i="6"/>
  <c r="C37" i="6"/>
  <c r="D37" i="6" s="1"/>
  <c r="C64" i="6"/>
  <c r="C40" i="6"/>
  <c r="D40" i="6" s="1"/>
  <c r="C71" i="6"/>
  <c r="C47" i="6"/>
  <c r="D47" i="6" s="1"/>
  <c r="AF24" i="2"/>
  <c r="C28" i="6"/>
  <c r="C29" i="6" s="1"/>
  <c r="C30" i="6" s="1"/>
  <c r="AC9" i="2"/>
  <c r="AC9" i="3"/>
  <c r="AA7" i="47" s="1"/>
  <c r="AA23" i="47" s="1"/>
  <c r="G39" i="47" s="1"/>
  <c r="AE9" i="5"/>
  <c r="AE11" i="2"/>
  <c r="AG24" i="5"/>
  <c r="AG26" i="5"/>
  <c r="AG12" i="5" s="1"/>
  <c r="AG15" i="2" s="1"/>
  <c r="AG25" i="5"/>
  <c r="AG11" i="5" s="1"/>
  <c r="AG13" i="2" s="1"/>
  <c r="AD12" i="2"/>
  <c r="AD10" i="2"/>
  <c r="AL1" i="6"/>
  <c r="AK3" i="6"/>
  <c r="AK18" i="6" s="1"/>
  <c r="AK12" i="8"/>
  <c r="AL10" i="8" s="1"/>
  <c r="AL11" i="8" s="1"/>
  <c r="AK3" i="9"/>
  <c r="AJ3" i="8"/>
  <c r="AJ25" i="8" s="1"/>
  <c r="AK3" i="7"/>
  <c r="AK3" i="5"/>
  <c r="AK3" i="4"/>
  <c r="AK3" i="3"/>
  <c r="AL1" i="9"/>
  <c r="AK1" i="8"/>
  <c r="AL1" i="7"/>
  <c r="AL1" i="5"/>
  <c r="AL1" i="4"/>
  <c r="AM1" i="2"/>
  <c r="AL3" i="2"/>
  <c r="AL1" i="3"/>
  <c r="D39" i="6" l="1"/>
  <c r="D41" i="6"/>
  <c r="D46" i="6"/>
  <c r="D36" i="6"/>
  <c r="D43" i="6"/>
  <c r="C38" i="4"/>
  <c r="AJ81" i="4"/>
  <c r="C39" i="4"/>
  <c r="AJ82" i="4"/>
  <c r="C36" i="4"/>
  <c r="C79" i="4" s="1"/>
  <c r="AJ79" i="4"/>
  <c r="C34" i="4"/>
  <c r="AJ77" i="4"/>
  <c r="D32" i="6"/>
  <c r="D52" i="6"/>
  <c r="D38" i="6"/>
  <c r="D42" i="6"/>
  <c r="C41" i="4"/>
  <c r="C83" i="4"/>
  <c r="D28" i="6"/>
  <c r="D8" i="6"/>
  <c r="D49" i="6"/>
  <c r="D35" i="6"/>
  <c r="C35" i="4"/>
  <c r="AJ78" i="4"/>
  <c r="D33" i="6"/>
  <c r="D11" i="6"/>
  <c r="D19" i="6"/>
  <c r="D22" i="6"/>
  <c r="D12" i="6"/>
  <c r="D20" i="6"/>
  <c r="D23" i="6"/>
  <c r="D13" i="6"/>
  <c r="D21" i="6"/>
  <c r="D14" i="6"/>
  <c r="D15" i="6"/>
  <c r="D16" i="6"/>
  <c r="D24" i="6"/>
  <c r="D9" i="6"/>
  <c r="D17" i="6"/>
  <c r="D25" i="6"/>
  <c r="D10" i="6"/>
  <c r="D26" i="6"/>
  <c r="D18" i="6"/>
  <c r="AC6" i="46"/>
  <c r="AC19" i="46" s="1"/>
  <c r="AC20" i="2"/>
  <c r="AC21" i="2" s="1"/>
  <c r="AA4" i="46"/>
  <c r="AA17" i="46" s="1"/>
  <c r="G31" i="46" s="1"/>
  <c r="AB32" i="2"/>
  <c r="Z5" i="46"/>
  <c r="Z18" i="46" s="1"/>
  <c r="AF10" i="3"/>
  <c r="AD8" i="47" s="1"/>
  <c r="AD24" i="47" s="1"/>
  <c r="AD6" i="46"/>
  <c r="AD19" i="46" s="1"/>
  <c r="AB21" i="2"/>
  <c r="AG26" i="2"/>
  <c r="AE3" i="46"/>
  <c r="AE16" i="46" s="1"/>
  <c r="AA33" i="2"/>
  <c r="Y7" i="46"/>
  <c r="Y20" i="46" s="1"/>
  <c r="AK66" i="6"/>
  <c r="AK42" i="6"/>
  <c r="AL36" i="4"/>
  <c r="AL79" i="4" s="1"/>
  <c r="AK47" i="4"/>
  <c r="AK58" i="4"/>
  <c r="AJ57" i="4"/>
  <c r="C57" i="4" s="1"/>
  <c r="AJ46" i="4"/>
  <c r="C46" i="4" s="1"/>
  <c r="AJ47" i="4"/>
  <c r="C47" i="4" s="1"/>
  <c r="AJ58" i="4"/>
  <c r="C58" i="4" s="1"/>
  <c r="AJ45" i="4"/>
  <c r="C45" i="4" s="1"/>
  <c r="AJ56" i="4"/>
  <c r="C56" i="4" s="1"/>
  <c r="AL39" i="4"/>
  <c r="AL82" i="4" s="1"/>
  <c r="AK61" i="4"/>
  <c r="AK50" i="4"/>
  <c r="AJ54" i="4"/>
  <c r="AJ43" i="4"/>
  <c r="C32" i="4"/>
  <c r="AJ61" i="4"/>
  <c r="C61" i="4" s="1"/>
  <c r="AJ50" i="4"/>
  <c r="C50" i="4" s="1"/>
  <c r="AI62" i="4"/>
  <c r="AJ49" i="4"/>
  <c r="C49" i="4" s="1"/>
  <c r="AJ60" i="4"/>
  <c r="C60" i="4" s="1"/>
  <c r="AJ44" i="4"/>
  <c r="C44" i="4" s="1"/>
  <c r="AJ55" i="4"/>
  <c r="C55" i="4" s="1"/>
  <c r="C33" i="4"/>
  <c r="AM37" i="4"/>
  <c r="AM80" i="4" s="1"/>
  <c r="AL59" i="4"/>
  <c r="AL48" i="4"/>
  <c r="AL34" i="4"/>
  <c r="AL77" i="4" s="1"/>
  <c r="AK56" i="4"/>
  <c r="AK45" i="4"/>
  <c r="AM33" i="4"/>
  <c r="AM76" i="4" s="1"/>
  <c r="AL44" i="4"/>
  <c r="AL55" i="4"/>
  <c r="AI51" i="4"/>
  <c r="AL38" i="4"/>
  <c r="AL81" i="4" s="1"/>
  <c r="AK49" i="4"/>
  <c r="AK60" i="4"/>
  <c r="AL35" i="4"/>
  <c r="AL78" i="4" s="1"/>
  <c r="AK57" i="4"/>
  <c r="AK46" i="4"/>
  <c r="AM32" i="4"/>
  <c r="AM75" i="4" s="1"/>
  <c r="AL54" i="4"/>
  <c r="AL43" i="4"/>
  <c r="AF23" i="5"/>
  <c r="AG14" i="2"/>
  <c r="AG6" i="3"/>
  <c r="AG30" i="2"/>
  <c r="AG16" i="2"/>
  <c r="AH27" i="2"/>
  <c r="R24" i="1"/>
  <c r="AJ73" i="6"/>
  <c r="AJ49" i="6"/>
  <c r="AJ64" i="6"/>
  <c r="AJ40" i="6"/>
  <c r="AJ50" i="6"/>
  <c r="AJ74" i="6"/>
  <c r="AJ63" i="6"/>
  <c r="AJ39" i="6"/>
  <c r="AJ36" i="6"/>
  <c r="AJ60" i="6"/>
  <c r="AJ57" i="6"/>
  <c r="AJ33" i="6"/>
  <c r="AJ43" i="6"/>
  <c r="AJ67" i="6"/>
  <c r="AJ61" i="6"/>
  <c r="AJ37" i="6"/>
  <c r="AJ34" i="6"/>
  <c r="AJ58" i="6"/>
  <c r="AJ65" i="6"/>
  <c r="AJ41" i="6"/>
  <c r="AJ69" i="6"/>
  <c r="AJ45" i="6"/>
  <c r="AJ44" i="6"/>
  <c r="AJ68" i="6"/>
  <c r="AJ71" i="6"/>
  <c r="AJ47" i="6"/>
  <c r="AJ70" i="6"/>
  <c r="AJ46" i="6"/>
  <c r="AJ72" i="6"/>
  <c r="AJ48" i="6"/>
  <c r="AJ35" i="6"/>
  <c r="AJ59" i="6"/>
  <c r="AI76" i="6"/>
  <c r="AI52" i="6"/>
  <c r="AI27" i="2" s="1"/>
  <c r="AI28" i="2" s="1"/>
  <c r="AJ28" i="6"/>
  <c r="AK19" i="6"/>
  <c r="AK15" i="6"/>
  <c r="AK12" i="6"/>
  <c r="AK10" i="6"/>
  <c r="AK21" i="6"/>
  <c r="AK17" i="6"/>
  <c r="AK13" i="6"/>
  <c r="AK11" i="6"/>
  <c r="AK26" i="6"/>
  <c r="AK23" i="6"/>
  <c r="AK25" i="6"/>
  <c r="AK24" i="6"/>
  <c r="AK22" i="6"/>
  <c r="AK16" i="6"/>
  <c r="AK9" i="6"/>
  <c r="AK20" i="6"/>
  <c r="AH76" i="6"/>
  <c r="AH21" i="5"/>
  <c r="AH8" i="4"/>
  <c r="AH7" i="2"/>
  <c r="AH5" i="2" s="1"/>
  <c r="AF3" i="46" s="1"/>
  <c r="AF16" i="46" s="1"/>
  <c r="H30" i="46" s="1"/>
  <c r="AD9" i="2"/>
  <c r="AD9" i="3"/>
  <c r="AB7" i="47" s="1"/>
  <c r="AB23" i="47" s="1"/>
  <c r="AF9" i="5"/>
  <c r="AF11" i="2"/>
  <c r="AE12" i="2"/>
  <c r="AE10" i="2"/>
  <c r="AG10" i="5"/>
  <c r="AG23" i="5"/>
  <c r="AL3" i="6"/>
  <c r="AL18" i="6" s="1"/>
  <c r="AM1" i="6"/>
  <c r="AM1" i="4"/>
  <c r="AL12" i="8"/>
  <c r="AM10" i="8" s="1"/>
  <c r="AM11" i="8" s="1"/>
  <c r="AM12" i="8" s="1"/>
  <c r="AL3" i="9"/>
  <c r="AK3" i="8"/>
  <c r="AK25" i="8" s="1"/>
  <c r="AL3" i="7"/>
  <c r="AL3" i="5"/>
  <c r="AL3" i="4"/>
  <c r="AL3" i="3"/>
  <c r="AM1" i="9"/>
  <c r="AL1" i="8"/>
  <c r="AM1" i="7"/>
  <c r="AM1" i="3"/>
  <c r="AM1" i="5"/>
  <c r="AM3" i="2"/>
  <c r="AN1" i="2"/>
  <c r="V7" i="1" l="1"/>
  <c r="C78" i="4"/>
  <c r="V5" i="1"/>
  <c r="C76" i="4"/>
  <c r="V8" i="1"/>
  <c r="V11" i="1"/>
  <c r="C82" i="4"/>
  <c r="V6" i="1"/>
  <c r="C77" i="4"/>
  <c r="V4" i="1"/>
  <c r="C75" i="4"/>
  <c r="V10" i="1"/>
  <c r="C81" i="4"/>
  <c r="AG24" i="2"/>
  <c r="AG5" i="3"/>
  <c r="AE3" i="47" s="1"/>
  <c r="AE19" i="47" s="1"/>
  <c r="AE4" i="47"/>
  <c r="AE20" i="47" s="1"/>
  <c r="AB33" i="2"/>
  <c r="Z7" i="46"/>
  <c r="Z20" i="46" s="1"/>
  <c r="AD20" i="2"/>
  <c r="AD21" i="2" s="1"/>
  <c r="AB4" i="46"/>
  <c r="AB17" i="46" s="1"/>
  <c r="AC32" i="2"/>
  <c r="AA5" i="46"/>
  <c r="AA18" i="46" s="1"/>
  <c r="G32" i="46" s="1"/>
  <c r="AL42" i="6"/>
  <c r="AL66" i="6"/>
  <c r="AK62" i="4"/>
  <c r="AK51" i="4"/>
  <c r="AM35" i="4"/>
  <c r="AM78" i="4" s="1"/>
  <c r="AL46" i="4"/>
  <c r="AL57" i="4"/>
  <c r="AM59" i="4"/>
  <c r="AM48" i="4"/>
  <c r="AM36" i="4"/>
  <c r="AM79" i="4" s="1"/>
  <c r="AL47" i="4"/>
  <c r="AL58" i="4"/>
  <c r="AM43" i="4"/>
  <c r="AM54" i="4"/>
  <c r="AJ51" i="4"/>
  <c r="C51" i="4" s="1"/>
  <c r="D49" i="4" s="1"/>
  <c r="AM38" i="4"/>
  <c r="AM81" i="4" s="1"/>
  <c r="AL60" i="4"/>
  <c r="AL49" i="4"/>
  <c r="AJ62" i="4"/>
  <c r="C62" i="4" s="1"/>
  <c r="D57" i="4" s="1"/>
  <c r="AM44" i="4"/>
  <c r="AM55" i="4"/>
  <c r="C43" i="4"/>
  <c r="AM34" i="4"/>
  <c r="AM77" i="4" s="1"/>
  <c r="AL56" i="4"/>
  <c r="AL45" i="4"/>
  <c r="AM39" i="4"/>
  <c r="AM82" i="4" s="1"/>
  <c r="AL61" i="4"/>
  <c r="AL50" i="4"/>
  <c r="C54" i="4"/>
  <c r="AK43" i="6"/>
  <c r="AK67" i="6"/>
  <c r="AK69" i="6"/>
  <c r="AK45" i="6"/>
  <c r="AK41" i="6"/>
  <c r="AK65" i="6"/>
  <c r="AK60" i="6"/>
  <c r="AK36" i="6"/>
  <c r="AK64" i="6"/>
  <c r="AK40" i="6"/>
  <c r="AK63" i="6"/>
  <c r="AK39" i="6"/>
  <c r="AK61" i="6"/>
  <c r="AK37" i="6"/>
  <c r="AK33" i="6"/>
  <c r="AK57" i="6"/>
  <c r="AK48" i="6"/>
  <c r="AK72" i="6"/>
  <c r="AK71" i="6"/>
  <c r="AK47" i="6"/>
  <c r="AK34" i="6"/>
  <c r="AK58" i="6"/>
  <c r="AK68" i="6"/>
  <c r="AK44" i="6"/>
  <c r="AK70" i="6"/>
  <c r="AK46" i="6"/>
  <c r="AK49" i="6"/>
  <c r="AK73" i="6"/>
  <c r="AK50" i="6"/>
  <c r="AK74" i="6"/>
  <c r="AK35" i="6"/>
  <c r="AK59" i="6"/>
  <c r="C76" i="6"/>
  <c r="AH28" i="2"/>
  <c r="AJ76" i="6"/>
  <c r="AJ52" i="6"/>
  <c r="AJ27" i="2" s="1"/>
  <c r="AJ28" i="2" s="1"/>
  <c r="AK28" i="6"/>
  <c r="AL23" i="6"/>
  <c r="AL21" i="6"/>
  <c r="AL17" i="6"/>
  <c r="AL13" i="6"/>
  <c r="AL19" i="6"/>
  <c r="AL15" i="6"/>
  <c r="AL11" i="6"/>
  <c r="AL26" i="6"/>
  <c r="AL24" i="6"/>
  <c r="AL16" i="6"/>
  <c r="AL12" i="6"/>
  <c r="AL25" i="6"/>
  <c r="AL22" i="6"/>
  <c r="AL9" i="6"/>
  <c r="AL10" i="6"/>
  <c r="AL20" i="6"/>
  <c r="AE9" i="3"/>
  <c r="AC7" i="47" s="1"/>
  <c r="AC23" i="47" s="1"/>
  <c r="AE9" i="2"/>
  <c r="AH25" i="5"/>
  <c r="AH11" i="5" s="1"/>
  <c r="AH13" i="2" s="1"/>
  <c r="AH14" i="2" s="1"/>
  <c r="AH26" i="5"/>
  <c r="AH12" i="5" s="1"/>
  <c r="AH15" i="2" s="1"/>
  <c r="AH16" i="2" s="1"/>
  <c r="AH24" i="5"/>
  <c r="AF10" i="2"/>
  <c r="AF12" i="2"/>
  <c r="AG9" i="5"/>
  <c r="AG11" i="2"/>
  <c r="AH26" i="2"/>
  <c r="AH6" i="3"/>
  <c r="AH30" i="2"/>
  <c r="AN1" i="6"/>
  <c r="AN1" i="4"/>
  <c r="AM3" i="6"/>
  <c r="AM18" i="6" s="1"/>
  <c r="AM3" i="4"/>
  <c r="AN1" i="9"/>
  <c r="AM1" i="8"/>
  <c r="AN1" i="7"/>
  <c r="AN1" i="3"/>
  <c r="AN1" i="5"/>
  <c r="AN3" i="2"/>
  <c r="AM3" i="9"/>
  <c r="AL3" i="8"/>
  <c r="AL25" i="8" s="1"/>
  <c r="AI26" i="8" s="1"/>
  <c r="AI250" i="8" s="1"/>
  <c r="AM3" i="7"/>
  <c r="AM3" i="3"/>
  <c r="AM3" i="5"/>
  <c r="D56" i="6" l="1"/>
  <c r="D76" i="6"/>
  <c r="D62" i="6"/>
  <c r="D66" i="6"/>
  <c r="D58" i="6"/>
  <c r="D60" i="6"/>
  <c r="D74" i="6"/>
  <c r="D65" i="6"/>
  <c r="D71" i="6"/>
  <c r="D70" i="6"/>
  <c r="D57" i="6"/>
  <c r="D63" i="6"/>
  <c r="D67" i="6"/>
  <c r="D64" i="6"/>
  <c r="D61" i="6"/>
  <c r="D72" i="6"/>
  <c r="D73" i="6"/>
  <c r="D69" i="6"/>
  <c r="D59" i="6"/>
  <c r="D68" i="6"/>
  <c r="D61" i="4"/>
  <c r="D55" i="4"/>
  <c r="D54" i="4"/>
  <c r="D56" i="4"/>
  <c r="D58" i="4"/>
  <c r="D43" i="4"/>
  <c r="D46" i="4"/>
  <c r="D45" i="4"/>
  <c r="D50" i="4"/>
  <c r="D51" i="4"/>
  <c r="D48" i="4"/>
  <c r="D44" i="4"/>
  <c r="D62" i="4"/>
  <c r="D59" i="4"/>
  <c r="D47" i="4"/>
  <c r="D60" i="4"/>
  <c r="AD32" i="2"/>
  <c r="AB5" i="46"/>
  <c r="AB18" i="46" s="1"/>
  <c r="AC33" i="2"/>
  <c r="AA7" i="46"/>
  <c r="AA20" i="46" s="1"/>
  <c r="G34" i="46" s="1"/>
  <c r="AE20" i="2"/>
  <c r="AC4" i="46"/>
  <c r="AC17" i="46" s="1"/>
  <c r="AH5" i="3"/>
  <c r="AF3" i="47" s="1"/>
  <c r="AF19" i="47" s="1"/>
  <c r="H35" i="47" s="1"/>
  <c r="AF4" i="47"/>
  <c r="AF20" i="47" s="1"/>
  <c r="H36" i="47" s="1"/>
  <c r="AG10" i="3"/>
  <c r="AE8" i="47" s="1"/>
  <c r="AE24" i="47" s="1"/>
  <c r="AE6" i="46"/>
  <c r="AE19" i="46" s="1"/>
  <c r="AM42" i="6"/>
  <c r="AM66" i="6"/>
  <c r="AL51" i="4"/>
  <c r="AL62" i="4"/>
  <c r="AM60" i="4"/>
  <c r="AM49" i="4"/>
  <c r="AM58" i="4"/>
  <c r="AM47" i="4"/>
  <c r="AM50" i="4"/>
  <c r="AM61" i="4"/>
  <c r="AM56" i="4"/>
  <c r="AM45" i="4"/>
  <c r="AM46" i="4"/>
  <c r="AM57" i="4"/>
  <c r="AL63" i="6"/>
  <c r="AL39" i="6"/>
  <c r="AL43" i="6"/>
  <c r="AL67" i="6"/>
  <c r="AL71" i="6"/>
  <c r="AL47" i="6"/>
  <c r="AL41" i="6"/>
  <c r="AL65" i="6"/>
  <c r="AL68" i="6"/>
  <c r="AL44" i="6"/>
  <c r="AL49" i="6"/>
  <c r="AL73" i="6"/>
  <c r="AL35" i="6"/>
  <c r="AL59" i="6"/>
  <c r="AL33" i="6"/>
  <c r="AL57" i="6"/>
  <c r="AL60" i="6"/>
  <c r="AL36" i="6"/>
  <c r="AL34" i="6"/>
  <c r="AL58" i="6"/>
  <c r="AL70" i="6"/>
  <c r="AL46" i="6"/>
  <c r="AL72" i="6"/>
  <c r="AL48" i="6"/>
  <c r="AL61" i="6"/>
  <c r="AL37" i="6"/>
  <c r="AL69" i="6"/>
  <c r="AL45" i="6"/>
  <c r="AL64" i="6"/>
  <c r="AL40" i="6"/>
  <c r="AL50" i="6"/>
  <c r="AL74" i="6"/>
  <c r="AK76" i="6"/>
  <c r="AK52" i="6"/>
  <c r="AK27" i="2" s="1"/>
  <c r="AK28" i="2" s="1"/>
  <c r="AL28" i="6"/>
  <c r="AM13" i="6"/>
  <c r="AM15" i="6"/>
  <c r="AM11" i="6"/>
  <c r="AM23" i="6"/>
  <c r="AM21" i="6"/>
  <c r="AM17" i="6"/>
  <c r="AM26" i="6"/>
  <c r="AM16" i="6"/>
  <c r="AM25" i="6"/>
  <c r="AM20" i="6"/>
  <c r="AM19" i="6"/>
  <c r="AM22" i="6"/>
  <c r="AM9" i="6"/>
  <c r="AM10" i="6"/>
  <c r="AM24" i="6"/>
  <c r="AM12" i="6"/>
  <c r="AH24" i="2"/>
  <c r="AF9" i="3"/>
  <c r="AD7" i="47" s="1"/>
  <c r="AD23" i="47" s="1"/>
  <c r="AF9" i="2"/>
  <c r="AH10" i="5"/>
  <c r="AH23" i="5"/>
  <c r="AG10" i="2"/>
  <c r="AG12" i="2"/>
  <c r="AN3" i="6"/>
  <c r="AN18" i="6" s="1"/>
  <c r="AN3" i="4"/>
  <c r="AI280" i="8"/>
  <c r="AI249" i="8"/>
  <c r="AI236" i="8"/>
  <c r="AI210" i="8"/>
  <c r="AI209" i="8"/>
  <c r="AI211" i="8"/>
  <c r="AI205" i="8"/>
  <c r="AI206" i="8"/>
  <c r="AI192" i="8"/>
  <c r="AI171" i="8"/>
  <c r="AI164" i="8"/>
  <c r="AI162" i="8"/>
  <c r="AI168" i="8"/>
  <c r="AI167" i="8"/>
  <c r="AI208" i="8"/>
  <c r="AI169" i="8"/>
  <c r="AI166" i="8"/>
  <c r="AI170" i="8"/>
  <c r="AI165" i="8"/>
  <c r="AI133" i="8"/>
  <c r="AI131" i="8"/>
  <c r="AI125" i="8"/>
  <c r="AI122" i="8"/>
  <c r="AI172" i="8"/>
  <c r="AI128" i="8"/>
  <c r="AI119" i="8"/>
  <c r="AI104" i="8"/>
  <c r="AI207" i="8"/>
  <c r="AI161" i="8"/>
  <c r="AI148" i="8"/>
  <c r="AI126" i="8"/>
  <c r="AI121" i="8"/>
  <c r="AI130" i="8"/>
  <c r="AI117" i="8"/>
  <c r="AI163" i="8"/>
  <c r="AI127" i="8"/>
  <c r="AI120" i="8"/>
  <c r="AI129" i="8"/>
  <c r="AI132" i="8"/>
  <c r="AI124" i="8"/>
  <c r="AI123" i="8"/>
  <c r="AI118" i="8"/>
  <c r="AE26" i="8"/>
  <c r="AG26" i="8"/>
  <c r="AK26" i="8"/>
  <c r="AK250" i="8" s="1"/>
  <c r="AN3" i="9"/>
  <c r="AM3" i="8"/>
  <c r="AM25" i="8" s="1"/>
  <c r="AM26" i="8" s="1"/>
  <c r="AM250" i="8" s="1"/>
  <c r="AN3" i="7"/>
  <c r="AN3" i="3"/>
  <c r="AN3" i="5"/>
  <c r="D29" i="2"/>
  <c r="AL26" i="8"/>
  <c r="AL250" i="8" s="1"/>
  <c r="E26" i="8"/>
  <c r="D26" i="8"/>
  <c r="F26" i="8"/>
  <c r="I26" i="8"/>
  <c r="G26" i="8"/>
  <c r="H26" i="8"/>
  <c r="K26" i="8"/>
  <c r="J26" i="8"/>
  <c r="L26" i="8"/>
  <c r="N26" i="8"/>
  <c r="P26" i="8"/>
  <c r="Q26" i="8"/>
  <c r="O26" i="8"/>
  <c r="M26" i="8"/>
  <c r="R26" i="8"/>
  <c r="W26" i="8"/>
  <c r="S26" i="8"/>
  <c r="T26" i="8"/>
  <c r="V26" i="8"/>
  <c r="U26" i="8"/>
  <c r="X26" i="8"/>
  <c r="Y26" i="8"/>
  <c r="AB26" i="8"/>
  <c r="AA26" i="8"/>
  <c r="Z26" i="8"/>
  <c r="AD26" i="8"/>
  <c r="AC26" i="8"/>
  <c r="AF26" i="8"/>
  <c r="AH26" i="8"/>
  <c r="AJ26" i="8"/>
  <c r="AJ250" i="8" s="1"/>
  <c r="AF20" i="2" l="1"/>
  <c r="AF32" i="2" s="1"/>
  <c r="AD4" i="46"/>
  <c r="AD17" i="46" s="1"/>
  <c r="AE32" i="2"/>
  <c r="AC5" i="46"/>
  <c r="AC18" i="46" s="1"/>
  <c r="AH10" i="3"/>
  <c r="AF8" i="47" s="1"/>
  <c r="AF24" i="47" s="1"/>
  <c r="H40" i="47" s="1"/>
  <c r="AF6" i="46"/>
  <c r="AF19" i="46" s="1"/>
  <c r="H33" i="46" s="1"/>
  <c r="AE21" i="2"/>
  <c r="AD33" i="2"/>
  <c r="AB7" i="46"/>
  <c r="AB20" i="46" s="1"/>
  <c r="AN42" i="6"/>
  <c r="AN66" i="6"/>
  <c r="AN76" i="6" s="1"/>
  <c r="AN28" i="6"/>
  <c r="AM62" i="4"/>
  <c r="AM51" i="4"/>
  <c r="AM70" i="6"/>
  <c r="AM46" i="6"/>
  <c r="AM68" i="6"/>
  <c r="AM44" i="6"/>
  <c r="AM40" i="6"/>
  <c r="AM64" i="6"/>
  <c r="AM50" i="6"/>
  <c r="AM74" i="6"/>
  <c r="AM33" i="6"/>
  <c r="AM57" i="6"/>
  <c r="AM69" i="6"/>
  <c r="AM45" i="6"/>
  <c r="AM71" i="6"/>
  <c r="AM47" i="6"/>
  <c r="AM59" i="6"/>
  <c r="AM35" i="6"/>
  <c r="AM41" i="6"/>
  <c r="AM65" i="6"/>
  <c r="AM63" i="6"/>
  <c r="AM39" i="6"/>
  <c r="AM49" i="6"/>
  <c r="AM73" i="6"/>
  <c r="AM61" i="6"/>
  <c r="AM37" i="6"/>
  <c r="AM60" i="6"/>
  <c r="AM36" i="6"/>
  <c r="AM67" i="6"/>
  <c r="AM43" i="6"/>
  <c r="AM48" i="6"/>
  <c r="AM72" i="6"/>
  <c r="AM34" i="6"/>
  <c r="AM58" i="6"/>
  <c r="AL76" i="6"/>
  <c r="AL52" i="6"/>
  <c r="AL27" i="2" s="1"/>
  <c r="AL28" i="2" s="1"/>
  <c r="AM28" i="6"/>
  <c r="AG9" i="3"/>
  <c r="AE7" i="47" s="1"/>
  <c r="AE23" i="47" s="1"/>
  <c r="AG9" i="2"/>
  <c r="AH9" i="5"/>
  <c r="AH11" i="2"/>
  <c r="AF277" i="8"/>
  <c r="AG277" i="8" s="1"/>
  <c r="AH277" i="8" s="1"/>
  <c r="AI277" i="8" s="1"/>
  <c r="AJ277" i="8" s="1"/>
  <c r="AK277" i="8" s="1"/>
  <c r="AL277" i="8" s="1"/>
  <c r="AM277" i="8" s="1"/>
  <c r="AF208" i="8"/>
  <c r="AF233" i="8"/>
  <c r="AG233" i="8" s="1"/>
  <c r="AH233" i="8" s="1"/>
  <c r="AI233" i="8" s="1"/>
  <c r="AJ233" i="8" s="1"/>
  <c r="AK233" i="8" s="1"/>
  <c r="AL233" i="8" s="1"/>
  <c r="AM233" i="8" s="1"/>
  <c r="AF207" i="8"/>
  <c r="AF206" i="8"/>
  <c r="AF165" i="8"/>
  <c r="AF161" i="8"/>
  <c r="AF145" i="8"/>
  <c r="AF189" i="8"/>
  <c r="AG189" i="8" s="1"/>
  <c r="AH189" i="8" s="1"/>
  <c r="AI189" i="8" s="1"/>
  <c r="AJ189" i="8" s="1"/>
  <c r="AK189" i="8" s="1"/>
  <c r="AL189" i="8" s="1"/>
  <c r="AM189" i="8" s="1"/>
  <c r="AF164" i="8"/>
  <c r="AF168" i="8"/>
  <c r="AF167" i="8"/>
  <c r="AF205" i="8"/>
  <c r="AF127" i="8"/>
  <c r="AF120" i="8"/>
  <c r="AF129" i="8"/>
  <c r="AF118" i="8"/>
  <c r="AF124" i="8"/>
  <c r="AF123" i="8"/>
  <c r="AF169" i="8"/>
  <c r="AF125" i="8"/>
  <c r="AF122" i="8"/>
  <c r="AF162" i="8"/>
  <c r="AF128" i="8"/>
  <c r="AF119" i="8"/>
  <c r="AF126" i="8"/>
  <c r="AF121" i="8"/>
  <c r="AF101" i="8"/>
  <c r="AG101" i="8" s="1"/>
  <c r="AH101" i="8" s="1"/>
  <c r="AI101" i="8" s="1"/>
  <c r="AJ101" i="8" s="1"/>
  <c r="AK101" i="8" s="1"/>
  <c r="AL101" i="8" s="1"/>
  <c r="AM101" i="8" s="1"/>
  <c r="AF166" i="8"/>
  <c r="AF130" i="8"/>
  <c r="AF117" i="8"/>
  <c r="AF163" i="8"/>
  <c r="Y270" i="8"/>
  <c r="Z270" i="8" s="1"/>
  <c r="AA270" i="8" s="1"/>
  <c r="AB270" i="8" s="1"/>
  <c r="AC270" i="8" s="1"/>
  <c r="AD270" i="8" s="1"/>
  <c r="AE270" i="8" s="1"/>
  <c r="AF270" i="8" s="1"/>
  <c r="AG270" i="8" s="1"/>
  <c r="AH270" i="8" s="1"/>
  <c r="AI270" i="8" s="1"/>
  <c r="AJ270" i="8" s="1"/>
  <c r="AK270" i="8" s="1"/>
  <c r="AL270" i="8" s="1"/>
  <c r="AM270" i="8" s="1"/>
  <c r="Y226" i="8"/>
  <c r="Y161" i="8"/>
  <c r="Y162" i="8"/>
  <c r="Y138" i="8"/>
  <c r="Z138" i="8" s="1"/>
  <c r="AA138" i="8" s="1"/>
  <c r="AB138" i="8" s="1"/>
  <c r="AC138" i="8" s="1"/>
  <c r="AD138" i="8" s="1"/>
  <c r="AE138" i="8" s="1"/>
  <c r="AF138" i="8" s="1"/>
  <c r="AG138" i="8" s="1"/>
  <c r="AH138" i="8" s="1"/>
  <c r="AI138" i="8" s="1"/>
  <c r="AJ138" i="8" s="1"/>
  <c r="AK138" i="8" s="1"/>
  <c r="AL138" i="8" s="1"/>
  <c r="AM138" i="8" s="1"/>
  <c r="Y182" i="8"/>
  <c r="Z182" i="8" s="1"/>
  <c r="AA182" i="8" s="1"/>
  <c r="AB182" i="8" s="1"/>
  <c r="AC182" i="8" s="1"/>
  <c r="AD182" i="8" s="1"/>
  <c r="AE182" i="8" s="1"/>
  <c r="AF182" i="8" s="1"/>
  <c r="AG182" i="8" s="1"/>
  <c r="AH182" i="8" s="1"/>
  <c r="AI182" i="8" s="1"/>
  <c r="AJ182" i="8" s="1"/>
  <c r="AK182" i="8" s="1"/>
  <c r="AL182" i="8" s="1"/>
  <c r="AM182" i="8" s="1"/>
  <c r="Y118" i="8"/>
  <c r="Y123" i="8"/>
  <c r="Y122" i="8"/>
  <c r="Y119" i="8"/>
  <c r="Y121" i="8"/>
  <c r="Y120" i="8"/>
  <c r="Y94" i="8"/>
  <c r="Z94" i="8" s="1"/>
  <c r="AA94" i="8" s="1"/>
  <c r="AB94" i="8" s="1"/>
  <c r="AC94" i="8" s="1"/>
  <c r="AD94" i="8" s="1"/>
  <c r="AE94" i="8" s="1"/>
  <c r="AF94" i="8" s="1"/>
  <c r="AG94" i="8" s="1"/>
  <c r="AH94" i="8" s="1"/>
  <c r="AI94" i="8" s="1"/>
  <c r="AJ94" i="8" s="1"/>
  <c r="AK94" i="8" s="1"/>
  <c r="AL94" i="8" s="1"/>
  <c r="AM94" i="8" s="1"/>
  <c r="Y117" i="8"/>
  <c r="M258" i="8"/>
  <c r="N258" i="8" s="1"/>
  <c r="O258" i="8" s="1"/>
  <c r="P258" i="8" s="1"/>
  <c r="Q258" i="8" s="1"/>
  <c r="R258" i="8" s="1"/>
  <c r="S258" i="8" s="1"/>
  <c r="T258" i="8" s="1"/>
  <c r="U258" i="8" s="1"/>
  <c r="V258" i="8" s="1"/>
  <c r="W258" i="8" s="1"/>
  <c r="X258" i="8" s="1"/>
  <c r="Y258" i="8" s="1"/>
  <c r="Z258" i="8" s="1"/>
  <c r="AA258" i="8" s="1"/>
  <c r="AB258" i="8" s="1"/>
  <c r="AC258" i="8" s="1"/>
  <c r="AD258" i="8" s="1"/>
  <c r="AE258" i="8" s="1"/>
  <c r="AF258" i="8" s="1"/>
  <c r="AG258" i="8" s="1"/>
  <c r="AH258" i="8" s="1"/>
  <c r="AI258" i="8" s="1"/>
  <c r="AJ258" i="8" s="1"/>
  <c r="AK258" i="8" s="1"/>
  <c r="AL258" i="8" s="1"/>
  <c r="AM258" i="8" s="1"/>
  <c r="M214" i="8"/>
  <c r="N214" i="8" s="1"/>
  <c r="O214" i="8" s="1"/>
  <c r="P214" i="8" s="1"/>
  <c r="Q214" i="8" s="1"/>
  <c r="R214" i="8" s="1"/>
  <c r="S214" i="8" s="1"/>
  <c r="T214" i="8" s="1"/>
  <c r="U214" i="8" s="1"/>
  <c r="V214" i="8" s="1"/>
  <c r="W214" i="8" s="1"/>
  <c r="X214" i="8" s="1"/>
  <c r="Y214" i="8" s="1"/>
  <c r="Z214" i="8" s="1"/>
  <c r="AA214" i="8" s="1"/>
  <c r="AB214" i="8" s="1"/>
  <c r="AC214" i="8" s="1"/>
  <c r="AD214" i="8" s="1"/>
  <c r="AE214" i="8" s="1"/>
  <c r="AF214" i="8" s="1"/>
  <c r="AG214" i="8" s="1"/>
  <c r="AH214" i="8" s="1"/>
  <c r="AI214" i="8" s="1"/>
  <c r="AJ214" i="8" s="1"/>
  <c r="AK214" i="8" s="1"/>
  <c r="M170" i="8"/>
  <c r="N170" i="8" s="1"/>
  <c r="O170" i="8" s="1"/>
  <c r="P170" i="8" s="1"/>
  <c r="Q170" i="8" s="1"/>
  <c r="R170" i="8" s="1"/>
  <c r="S170" i="8" s="1"/>
  <c r="T170" i="8" s="1"/>
  <c r="U170" i="8" s="1"/>
  <c r="V170" i="8" s="1"/>
  <c r="W170" i="8" s="1"/>
  <c r="X170" i="8" s="1"/>
  <c r="Y170" i="8" s="1"/>
  <c r="Z170" i="8" s="1"/>
  <c r="AA170" i="8" s="1"/>
  <c r="AB170" i="8" s="1"/>
  <c r="AC170" i="8" s="1"/>
  <c r="AD170" i="8" s="1"/>
  <c r="AE170" i="8" s="1"/>
  <c r="AF170" i="8" s="1"/>
  <c r="M126" i="8"/>
  <c r="M82" i="8"/>
  <c r="N82" i="8" s="1"/>
  <c r="O82" i="8" s="1"/>
  <c r="P82" i="8" s="1"/>
  <c r="Q82" i="8" s="1"/>
  <c r="R82" i="8" s="1"/>
  <c r="S82" i="8" s="1"/>
  <c r="T82" i="8" s="1"/>
  <c r="U82" i="8" s="1"/>
  <c r="V82" i="8" s="1"/>
  <c r="H253" i="8"/>
  <c r="H209" i="8"/>
  <c r="I209" i="8" s="1"/>
  <c r="J209" i="8" s="1"/>
  <c r="K209" i="8" s="1"/>
  <c r="L209" i="8" s="1"/>
  <c r="M209" i="8" s="1"/>
  <c r="N209" i="8" s="1"/>
  <c r="O209" i="8" s="1"/>
  <c r="P209" i="8" s="1"/>
  <c r="Q209" i="8" s="1"/>
  <c r="R209" i="8" s="1"/>
  <c r="S209" i="8" s="1"/>
  <c r="T209" i="8" s="1"/>
  <c r="U209" i="8" s="1"/>
  <c r="V209" i="8" s="1"/>
  <c r="W209" i="8" s="1"/>
  <c r="X209" i="8" s="1"/>
  <c r="Y209" i="8" s="1"/>
  <c r="Z209" i="8" s="1"/>
  <c r="AA209" i="8" s="1"/>
  <c r="AB209" i="8" s="1"/>
  <c r="AC209" i="8" s="1"/>
  <c r="AD209" i="8" s="1"/>
  <c r="AE209" i="8" s="1"/>
  <c r="AF209" i="8" s="1"/>
  <c r="H165" i="8"/>
  <c r="H121" i="8"/>
  <c r="I121" i="8" s="1"/>
  <c r="J121" i="8" s="1"/>
  <c r="K121" i="8" s="1"/>
  <c r="L121" i="8" s="1"/>
  <c r="M121" i="8" s="1"/>
  <c r="N121" i="8" s="1"/>
  <c r="O121" i="8" s="1"/>
  <c r="P121" i="8" s="1"/>
  <c r="Q121" i="8" s="1"/>
  <c r="R121" i="8" s="1"/>
  <c r="S121" i="8" s="1"/>
  <c r="T121" i="8" s="1"/>
  <c r="U121" i="8" s="1"/>
  <c r="V121" i="8" s="1"/>
  <c r="H77" i="8"/>
  <c r="AG278" i="8"/>
  <c r="AH278" i="8" s="1"/>
  <c r="AI278" i="8" s="1"/>
  <c r="AJ278" i="8" s="1"/>
  <c r="AK278" i="8" s="1"/>
  <c r="AL278" i="8" s="1"/>
  <c r="AM278" i="8" s="1"/>
  <c r="AG207" i="8"/>
  <c r="AG190" i="8"/>
  <c r="AH190" i="8" s="1"/>
  <c r="AI190" i="8" s="1"/>
  <c r="AJ190" i="8" s="1"/>
  <c r="AK190" i="8" s="1"/>
  <c r="AL190" i="8" s="1"/>
  <c r="AM190" i="8" s="1"/>
  <c r="AG208" i="8"/>
  <c r="AG209" i="8"/>
  <c r="AG205" i="8"/>
  <c r="AG161" i="8"/>
  <c r="AG164" i="8"/>
  <c r="AG162" i="8"/>
  <c r="AG169" i="8"/>
  <c r="AG166" i="8"/>
  <c r="AG206" i="8"/>
  <c r="AG170" i="8"/>
  <c r="AG129" i="8"/>
  <c r="AG118" i="8"/>
  <c r="AG234" i="8"/>
  <c r="AH234" i="8" s="1"/>
  <c r="AI234" i="8" s="1"/>
  <c r="AJ234" i="8" s="1"/>
  <c r="AK234" i="8" s="1"/>
  <c r="AL234" i="8" s="1"/>
  <c r="AM234" i="8" s="1"/>
  <c r="AG131" i="8"/>
  <c r="AG124" i="8"/>
  <c r="AG123" i="8"/>
  <c r="AG167" i="8"/>
  <c r="AG146" i="8"/>
  <c r="AH146" i="8" s="1"/>
  <c r="AI146" i="8" s="1"/>
  <c r="AJ146" i="8" s="1"/>
  <c r="AK146" i="8" s="1"/>
  <c r="AL146" i="8" s="1"/>
  <c r="AM146" i="8" s="1"/>
  <c r="AG125" i="8"/>
  <c r="AG122" i="8"/>
  <c r="AG128" i="8"/>
  <c r="AG119" i="8"/>
  <c r="AG165" i="8"/>
  <c r="AG126" i="8"/>
  <c r="AG121" i="8"/>
  <c r="AG102" i="8"/>
  <c r="AH102" i="8" s="1"/>
  <c r="AI102" i="8" s="1"/>
  <c r="AJ102" i="8" s="1"/>
  <c r="AK102" i="8" s="1"/>
  <c r="AL102" i="8" s="1"/>
  <c r="AM102" i="8" s="1"/>
  <c r="AG130" i="8"/>
  <c r="AG117" i="8"/>
  <c r="AG168" i="8"/>
  <c r="AG163" i="8"/>
  <c r="AG120" i="8"/>
  <c r="AG127" i="8"/>
  <c r="O260" i="8"/>
  <c r="P260" i="8" s="1"/>
  <c r="Q260" i="8" s="1"/>
  <c r="R260" i="8" s="1"/>
  <c r="S260" i="8" s="1"/>
  <c r="T260" i="8" s="1"/>
  <c r="U260" i="8" s="1"/>
  <c r="V260" i="8" s="1"/>
  <c r="W260" i="8" s="1"/>
  <c r="X260" i="8" s="1"/>
  <c r="Y260" i="8" s="1"/>
  <c r="Z260" i="8" s="1"/>
  <c r="AA260" i="8" s="1"/>
  <c r="AB260" i="8" s="1"/>
  <c r="AC260" i="8" s="1"/>
  <c r="AD260" i="8" s="1"/>
  <c r="AE260" i="8" s="1"/>
  <c r="AF260" i="8" s="1"/>
  <c r="AG260" i="8" s="1"/>
  <c r="AH260" i="8" s="1"/>
  <c r="AI260" i="8" s="1"/>
  <c r="AJ260" i="8" s="1"/>
  <c r="AK260" i="8" s="1"/>
  <c r="AL260" i="8" s="1"/>
  <c r="AM260" i="8" s="1"/>
  <c r="O216" i="8"/>
  <c r="P216" i="8" s="1"/>
  <c r="Q216" i="8" s="1"/>
  <c r="R216" i="8" s="1"/>
  <c r="S216" i="8" s="1"/>
  <c r="T216" i="8" s="1"/>
  <c r="U216" i="8" s="1"/>
  <c r="V216" i="8" s="1"/>
  <c r="W216" i="8" s="1"/>
  <c r="X216" i="8" s="1"/>
  <c r="Y216" i="8" s="1"/>
  <c r="Z216" i="8" s="1"/>
  <c r="AA216" i="8" s="1"/>
  <c r="AB216" i="8" s="1"/>
  <c r="AC216" i="8" s="1"/>
  <c r="AD216" i="8" s="1"/>
  <c r="AE216" i="8" s="1"/>
  <c r="AF216" i="8" s="1"/>
  <c r="AG216" i="8" s="1"/>
  <c r="AH216" i="8" s="1"/>
  <c r="AI216" i="8" s="1"/>
  <c r="AJ216" i="8" s="1"/>
  <c r="AK216" i="8" s="1"/>
  <c r="AL216" i="8" s="1"/>
  <c r="AM216" i="8" s="1"/>
  <c r="O172" i="8"/>
  <c r="P172" i="8" s="1"/>
  <c r="Q172" i="8" s="1"/>
  <c r="R172" i="8" s="1"/>
  <c r="S172" i="8" s="1"/>
  <c r="T172" i="8" s="1"/>
  <c r="U172" i="8" s="1"/>
  <c r="V172" i="8" s="1"/>
  <c r="W172" i="8" s="1"/>
  <c r="X172" i="8" s="1"/>
  <c r="Y172" i="8" s="1"/>
  <c r="Z172" i="8" s="1"/>
  <c r="AA172" i="8" s="1"/>
  <c r="AB172" i="8" s="1"/>
  <c r="AC172" i="8" s="1"/>
  <c r="AD172" i="8" s="1"/>
  <c r="AE172" i="8" s="1"/>
  <c r="AF172" i="8" s="1"/>
  <c r="AG172" i="8" s="1"/>
  <c r="AH172" i="8" s="1"/>
  <c r="O128" i="8"/>
  <c r="P128" i="8" s="1"/>
  <c r="Q128" i="8" s="1"/>
  <c r="R128" i="8" s="1"/>
  <c r="S128" i="8" s="1"/>
  <c r="T128" i="8" s="1"/>
  <c r="U128" i="8" s="1"/>
  <c r="V128" i="8" s="1"/>
  <c r="W128" i="8" s="1"/>
  <c r="X128" i="8" s="1"/>
  <c r="Y128" i="8" s="1"/>
  <c r="Z128" i="8" s="1"/>
  <c r="AA128" i="8" s="1"/>
  <c r="AB128" i="8" s="1"/>
  <c r="AC128" i="8" s="1"/>
  <c r="O84" i="8"/>
  <c r="P84" i="8" s="1"/>
  <c r="Q84" i="8" s="1"/>
  <c r="R84" i="8" s="1"/>
  <c r="S84" i="8" s="1"/>
  <c r="T84" i="8" s="1"/>
  <c r="U84" i="8" s="1"/>
  <c r="V84" i="8" s="1"/>
  <c r="W84" i="8" s="1"/>
  <c r="X84" i="8" s="1"/>
  <c r="Y84" i="8" s="1"/>
  <c r="Z84" i="8" s="1"/>
  <c r="AA84" i="8" s="1"/>
  <c r="AB84" i="8" s="1"/>
  <c r="AC84" i="8" s="1"/>
  <c r="AD84" i="8" s="1"/>
  <c r="AE84" i="8" s="1"/>
  <c r="AF84" i="8" s="1"/>
  <c r="AG84" i="8" s="1"/>
  <c r="AH84" i="8" s="1"/>
  <c r="AI84" i="8" s="1"/>
  <c r="AJ84" i="8" s="1"/>
  <c r="AK84" i="8" s="1"/>
  <c r="AL84" i="8" s="1"/>
  <c r="AM84" i="8" s="1"/>
  <c r="AC274" i="8"/>
  <c r="AD274" i="8" s="1"/>
  <c r="AE274" i="8" s="1"/>
  <c r="AF274" i="8" s="1"/>
  <c r="AG274" i="8" s="1"/>
  <c r="AH274" i="8" s="1"/>
  <c r="AI274" i="8" s="1"/>
  <c r="AJ274" i="8" s="1"/>
  <c r="AK274" i="8" s="1"/>
  <c r="AL274" i="8" s="1"/>
  <c r="AM274" i="8" s="1"/>
  <c r="AC230" i="8"/>
  <c r="AD230" i="8" s="1"/>
  <c r="AE230" i="8" s="1"/>
  <c r="AF230" i="8" s="1"/>
  <c r="AG230" i="8" s="1"/>
  <c r="AH230" i="8" s="1"/>
  <c r="AI230" i="8" s="1"/>
  <c r="AJ230" i="8" s="1"/>
  <c r="AK230" i="8" s="1"/>
  <c r="AL230" i="8" s="1"/>
  <c r="AM230" i="8" s="1"/>
  <c r="AC186" i="8"/>
  <c r="AD186" i="8" s="1"/>
  <c r="AE186" i="8" s="1"/>
  <c r="AF186" i="8" s="1"/>
  <c r="AG186" i="8" s="1"/>
  <c r="AH186" i="8" s="1"/>
  <c r="AI186" i="8" s="1"/>
  <c r="AJ186" i="8" s="1"/>
  <c r="AK186" i="8" s="1"/>
  <c r="AL186" i="8" s="1"/>
  <c r="AM186" i="8" s="1"/>
  <c r="AC205" i="8"/>
  <c r="AC166" i="8"/>
  <c r="AC142" i="8"/>
  <c r="AD142" i="8" s="1"/>
  <c r="AE142" i="8" s="1"/>
  <c r="AF142" i="8" s="1"/>
  <c r="AG142" i="8" s="1"/>
  <c r="AH142" i="8" s="1"/>
  <c r="AI142" i="8" s="1"/>
  <c r="AJ142" i="8" s="1"/>
  <c r="AK142" i="8" s="1"/>
  <c r="AL142" i="8" s="1"/>
  <c r="AM142" i="8" s="1"/>
  <c r="AC163" i="8"/>
  <c r="AC165" i="8"/>
  <c r="AC161" i="8"/>
  <c r="AC126" i="8"/>
  <c r="AC121" i="8"/>
  <c r="AC164" i="8"/>
  <c r="AC127" i="8"/>
  <c r="AC120" i="8"/>
  <c r="AC118" i="8"/>
  <c r="AC124" i="8"/>
  <c r="AC123" i="8"/>
  <c r="AC162" i="8"/>
  <c r="AC119" i="8"/>
  <c r="AC88" i="8"/>
  <c r="AD88" i="8" s="1"/>
  <c r="AE88" i="8" s="1"/>
  <c r="AF88" i="8" s="1"/>
  <c r="AG88" i="8" s="1"/>
  <c r="AH88" i="8" s="1"/>
  <c r="AI88" i="8" s="1"/>
  <c r="AJ88" i="8" s="1"/>
  <c r="AK88" i="8" s="1"/>
  <c r="AL88" i="8" s="1"/>
  <c r="AM88" i="8" s="1"/>
  <c r="AC117" i="8"/>
  <c r="AC85" i="8"/>
  <c r="AD85" i="8" s="1"/>
  <c r="AE85" i="8" s="1"/>
  <c r="AF85" i="8" s="1"/>
  <c r="AG85" i="8" s="1"/>
  <c r="AH85" i="8" s="1"/>
  <c r="AI85" i="8" s="1"/>
  <c r="AJ85" i="8" s="1"/>
  <c r="AK85" i="8" s="1"/>
  <c r="AL85" i="8" s="1"/>
  <c r="AM85" i="8" s="1"/>
  <c r="AC125" i="8"/>
  <c r="AC98" i="8"/>
  <c r="AD98" i="8" s="1"/>
  <c r="AE98" i="8" s="1"/>
  <c r="AF98" i="8" s="1"/>
  <c r="AG98" i="8" s="1"/>
  <c r="AH98" i="8" s="1"/>
  <c r="AI98" i="8" s="1"/>
  <c r="AJ98" i="8" s="1"/>
  <c r="AK98" i="8" s="1"/>
  <c r="AL98" i="8" s="1"/>
  <c r="AC122" i="8"/>
  <c r="V267" i="8"/>
  <c r="W267" i="8" s="1"/>
  <c r="X267" i="8" s="1"/>
  <c r="Y267" i="8" s="1"/>
  <c r="Z267" i="8" s="1"/>
  <c r="AA267" i="8" s="1"/>
  <c r="AB267" i="8" s="1"/>
  <c r="AC267" i="8" s="1"/>
  <c r="AD267" i="8" s="1"/>
  <c r="AE267" i="8" s="1"/>
  <c r="AF267" i="8" s="1"/>
  <c r="AG267" i="8" s="1"/>
  <c r="AH267" i="8" s="1"/>
  <c r="AI267" i="8" s="1"/>
  <c r="AJ267" i="8" s="1"/>
  <c r="AK267" i="8" s="1"/>
  <c r="AL267" i="8" s="1"/>
  <c r="AM267" i="8" s="1"/>
  <c r="V223" i="8"/>
  <c r="W223" i="8" s="1"/>
  <c r="X223" i="8" s="1"/>
  <c r="Y223" i="8" s="1"/>
  <c r="Z223" i="8" s="1"/>
  <c r="AA223" i="8" s="1"/>
  <c r="AB223" i="8" s="1"/>
  <c r="AC223" i="8" s="1"/>
  <c r="AD223" i="8" s="1"/>
  <c r="AE223" i="8" s="1"/>
  <c r="AF223" i="8" s="1"/>
  <c r="AG223" i="8" s="1"/>
  <c r="AH223" i="8" s="1"/>
  <c r="AI223" i="8" s="1"/>
  <c r="AJ223" i="8" s="1"/>
  <c r="AK223" i="8" s="1"/>
  <c r="AL223" i="8" s="1"/>
  <c r="AM223" i="8" s="1"/>
  <c r="V179" i="8"/>
  <c r="V117" i="8"/>
  <c r="V120" i="8"/>
  <c r="V118" i="8"/>
  <c r="V135" i="8"/>
  <c r="W135" i="8" s="1"/>
  <c r="X135" i="8" s="1"/>
  <c r="Y135" i="8" s="1"/>
  <c r="Z135" i="8" s="1"/>
  <c r="AA135" i="8" s="1"/>
  <c r="AB135" i="8" s="1"/>
  <c r="AC135" i="8" s="1"/>
  <c r="AD135" i="8" s="1"/>
  <c r="AE135" i="8" s="1"/>
  <c r="AF135" i="8" s="1"/>
  <c r="AG135" i="8" s="1"/>
  <c r="AH135" i="8" s="1"/>
  <c r="AI135" i="8" s="1"/>
  <c r="AJ135" i="8" s="1"/>
  <c r="V91" i="8"/>
  <c r="W91" i="8" s="1"/>
  <c r="X91" i="8" s="1"/>
  <c r="Y91" i="8" s="1"/>
  <c r="Z91" i="8" s="1"/>
  <c r="AA91" i="8" s="1"/>
  <c r="AB91" i="8" s="1"/>
  <c r="AC91" i="8" s="1"/>
  <c r="AD91" i="8" s="1"/>
  <c r="AE91" i="8" s="1"/>
  <c r="AF91" i="8" s="1"/>
  <c r="AG91" i="8" s="1"/>
  <c r="AH91" i="8" s="1"/>
  <c r="AI91" i="8" s="1"/>
  <c r="AJ91" i="8" s="1"/>
  <c r="AK91" i="8" s="1"/>
  <c r="AL91" i="8" s="1"/>
  <c r="AM91" i="8" s="1"/>
  <c r="V119" i="8"/>
  <c r="P261" i="8"/>
  <c r="Q261" i="8" s="1"/>
  <c r="R261" i="8" s="1"/>
  <c r="S261" i="8" s="1"/>
  <c r="T261" i="8" s="1"/>
  <c r="U261" i="8" s="1"/>
  <c r="V261" i="8" s="1"/>
  <c r="W261" i="8" s="1"/>
  <c r="X261" i="8" s="1"/>
  <c r="Y261" i="8" s="1"/>
  <c r="Z261" i="8" s="1"/>
  <c r="AA261" i="8" s="1"/>
  <c r="AB261" i="8" s="1"/>
  <c r="AC261" i="8" s="1"/>
  <c r="AD261" i="8" s="1"/>
  <c r="AE261" i="8" s="1"/>
  <c r="AF261" i="8" s="1"/>
  <c r="AG261" i="8" s="1"/>
  <c r="AH261" i="8" s="1"/>
  <c r="AI261" i="8" s="1"/>
  <c r="AJ261" i="8" s="1"/>
  <c r="AK261" i="8" s="1"/>
  <c r="AL261" i="8" s="1"/>
  <c r="AM261" i="8" s="1"/>
  <c r="P217" i="8"/>
  <c r="Q217" i="8" s="1"/>
  <c r="R217" i="8" s="1"/>
  <c r="S217" i="8" s="1"/>
  <c r="T217" i="8" s="1"/>
  <c r="U217" i="8" s="1"/>
  <c r="V217" i="8" s="1"/>
  <c r="W217" i="8" s="1"/>
  <c r="X217" i="8" s="1"/>
  <c r="Y217" i="8" s="1"/>
  <c r="Z217" i="8" s="1"/>
  <c r="AA217" i="8" s="1"/>
  <c r="AB217" i="8" s="1"/>
  <c r="AC217" i="8" s="1"/>
  <c r="AD217" i="8" s="1"/>
  <c r="AE217" i="8" s="1"/>
  <c r="AF217" i="8" s="1"/>
  <c r="AG217" i="8" s="1"/>
  <c r="AH217" i="8" s="1"/>
  <c r="AI217" i="8" s="1"/>
  <c r="AJ217" i="8" s="1"/>
  <c r="AK217" i="8" s="1"/>
  <c r="AL217" i="8" s="1"/>
  <c r="AM217" i="8" s="1"/>
  <c r="P129" i="8"/>
  <c r="Q129" i="8" s="1"/>
  <c r="R129" i="8" s="1"/>
  <c r="S129" i="8" s="1"/>
  <c r="T129" i="8" s="1"/>
  <c r="U129" i="8" s="1"/>
  <c r="V129" i="8" s="1"/>
  <c r="W129" i="8" s="1"/>
  <c r="X129" i="8" s="1"/>
  <c r="Y129" i="8" s="1"/>
  <c r="Z129" i="8" s="1"/>
  <c r="AA129" i="8" s="1"/>
  <c r="AB129" i="8" s="1"/>
  <c r="AC129" i="8" s="1"/>
  <c r="AD129" i="8" s="1"/>
  <c r="P173" i="8"/>
  <c r="Q173" i="8" s="1"/>
  <c r="R173" i="8" s="1"/>
  <c r="S173" i="8" s="1"/>
  <c r="T173" i="8" s="1"/>
  <c r="U173" i="8" s="1"/>
  <c r="V173" i="8" s="1"/>
  <c r="W173" i="8" s="1"/>
  <c r="X173" i="8" s="1"/>
  <c r="Y173" i="8" s="1"/>
  <c r="Z173" i="8" s="1"/>
  <c r="AA173" i="8" s="1"/>
  <c r="AB173" i="8" s="1"/>
  <c r="AC173" i="8" s="1"/>
  <c r="AD173" i="8" s="1"/>
  <c r="AE173" i="8" s="1"/>
  <c r="AF173" i="8" s="1"/>
  <c r="AG173" i="8" s="1"/>
  <c r="AH173" i="8" s="1"/>
  <c r="AI173" i="8" s="1"/>
  <c r="P85" i="8"/>
  <c r="Q85" i="8" s="1"/>
  <c r="R85" i="8" s="1"/>
  <c r="S85" i="8" s="1"/>
  <c r="T85" i="8" s="1"/>
  <c r="U85" i="8" s="1"/>
  <c r="V85" i="8" s="1"/>
  <c r="W85" i="8" s="1"/>
  <c r="X85" i="8" s="1"/>
  <c r="Y85" i="8" s="1"/>
  <c r="F251" i="8"/>
  <c r="G251" i="8" s="1"/>
  <c r="H251" i="8" s="1"/>
  <c r="I251" i="8" s="1"/>
  <c r="J251" i="8" s="1"/>
  <c r="K251" i="8" s="1"/>
  <c r="L251" i="8" s="1"/>
  <c r="M251" i="8" s="1"/>
  <c r="N251" i="8" s="1"/>
  <c r="O251" i="8" s="1"/>
  <c r="P251" i="8" s="1"/>
  <c r="Q251" i="8" s="1"/>
  <c r="R251" i="8" s="1"/>
  <c r="S251" i="8" s="1"/>
  <c r="T251" i="8" s="1"/>
  <c r="U251" i="8" s="1"/>
  <c r="V251" i="8" s="1"/>
  <c r="W251" i="8" s="1"/>
  <c r="X251" i="8" s="1"/>
  <c r="Y251" i="8" s="1"/>
  <c r="Z251" i="8" s="1"/>
  <c r="AA251" i="8" s="1"/>
  <c r="AB251" i="8" s="1"/>
  <c r="AC251" i="8" s="1"/>
  <c r="AD251" i="8" s="1"/>
  <c r="AE251" i="8" s="1"/>
  <c r="AF251" i="8" s="1"/>
  <c r="AG251" i="8" s="1"/>
  <c r="AH251" i="8" s="1"/>
  <c r="AI251" i="8" s="1"/>
  <c r="F207" i="8"/>
  <c r="F163" i="8"/>
  <c r="G163" i="8" s="1"/>
  <c r="H163" i="8" s="1"/>
  <c r="I163" i="8" s="1"/>
  <c r="J163" i="8" s="1"/>
  <c r="K163" i="8" s="1"/>
  <c r="L163" i="8" s="1"/>
  <c r="M163" i="8" s="1"/>
  <c r="N163" i="8" s="1"/>
  <c r="O163" i="8" s="1"/>
  <c r="P163" i="8" s="1"/>
  <c r="Q163" i="8" s="1"/>
  <c r="R163" i="8" s="1"/>
  <c r="S163" i="8" s="1"/>
  <c r="T163" i="8" s="1"/>
  <c r="U163" i="8" s="1"/>
  <c r="V163" i="8" s="1"/>
  <c r="W163" i="8" s="1"/>
  <c r="X163" i="8" s="1"/>
  <c r="Y163" i="8" s="1"/>
  <c r="F119" i="8"/>
  <c r="G119" i="8" s="1"/>
  <c r="H119" i="8" s="1"/>
  <c r="I119" i="8" s="1"/>
  <c r="J119" i="8" s="1"/>
  <c r="K119" i="8" s="1"/>
  <c r="L119" i="8" s="1"/>
  <c r="M119" i="8" s="1"/>
  <c r="N119" i="8" s="1"/>
  <c r="O119" i="8" s="1"/>
  <c r="P119" i="8" s="1"/>
  <c r="Q119" i="8" s="1"/>
  <c r="R119" i="8" s="1"/>
  <c r="S119" i="8" s="1"/>
  <c r="T119" i="8" s="1"/>
  <c r="F75" i="8"/>
  <c r="G75" i="8" s="1"/>
  <c r="H75" i="8" s="1"/>
  <c r="I75" i="8" s="1"/>
  <c r="J75" i="8" s="1"/>
  <c r="K75" i="8" s="1"/>
  <c r="L75" i="8" s="1"/>
  <c r="M75" i="8" s="1"/>
  <c r="N75" i="8" s="1"/>
  <c r="O75" i="8" s="1"/>
  <c r="P75" i="8" s="1"/>
  <c r="Q75" i="8" s="1"/>
  <c r="R75" i="8" s="1"/>
  <c r="S75" i="8" s="1"/>
  <c r="T75" i="8" s="1"/>
  <c r="U75" i="8" s="1"/>
  <c r="V75" i="8" s="1"/>
  <c r="W75" i="8" s="1"/>
  <c r="X75" i="8" s="1"/>
  <c r="Y75" i="8" s="1"/>
  <c r="Z75" i="8" s="1"/>
  <c r="AA75" i="8" s="1"/>
  <c r="AB75" i="8" s="1"/>
  <c r="AC75" i="8" s="1"/>
  <c r="AD75" i="8" s="1"/>
  <c r="AE75" i="8" s="1"/>
  <c r="AF75" i="8" s="1"/>
  <c r="AG75" i="8" s="1"/>
  <c r="AH75" i="8" s="1"/>
  <c r="AI75" i="8" s="1"/>
  <c r="AJ75" i="8" s="1"/>
  <c r="AK75" i="8" s="1"/>
  <c r="AL75" i="8" s="1"/>
  <c r="AM75" i="8" s="1"/>
  <c r="U266" i="8"/>
  <c r="U222" i="8"/>
  <c r="V222" i="8" s="1"/>
  <c r="W222" i="8" s="1"/>
  <c r="X222" i="8" s="1"/>
  <c r="Y222" i="8" s="1"/>
  <c r="Z222" i="8" s="1"/>
  <c r="AA222" i="8" s="1"/>
  <c r="AB222" i="8" s="1"/>
  <c r="AC222" i="8" s="1"/>
  <c r="AD222" i="8" s="1"/>
  <c r="AE222" i="8" s="1"/>
  <c r="AF222" i="8" s="1"/>
  <c r="AG222" i="8" s="1"/>
  <c r="AH222" i="8" s="1"/>
  <c r="AI222" i="8" s="1"/>
  <c r="AJ222" i="8" s="1"/>
  <c r="AK222" i="8" s="1"/>
  <c r="AL222" i="8" s="1"/>
  <c r="AM222" i="8" s="1"/>
  <c r="U134" i="8"/>
  <c r="V134" i="8" s="1"/>
  <c r="W134" i="8" s="1"/>
  <c r="X134" i="8" s="1"/>
  <c r="Y134" i="8" s="1"/>
  <c r="Z134" i="8" s="1"/>
  <c r="AA134" i="8" s="1"/>
  <c r="AB134" i="8" s="1"/>
  <c r="AC134" i="8" s="1"/>
  <c r="AD134" i="8" s="1"/>
  <c r="AE134" i="8" s="1"/>
  <c r="AF134" i="8" s="1"/>
  <c r="AG134" i="8" s="1"/>
  <c r="AH134" i="8" s="1"/>
  <c r="AI134" i="8" s="1"/>
  <c r="U178" i="8"/>
  <c r="U118" i="8"/>
  <c r="U117" i="8"/>
  <c r="U119" i="8"/>
  <c r="U90" i="8"/>
  <c r="AD275" i="8"/>
  <c r="AE275" i="8" s="1"/>
  <c r="AF275" i="8" s="1"/>
  <c r="AG275" i="8" s="1"/>
  <c r="AH275" i="8" s="1"/>
  <c r="AI275" i="8" s="1"/>
  <c r="AJ275" i="8" s="1"/>
  <c r="AK275" i="8" s="1"/>
  <c r="AL275" i="8" s="1"/>
  <c r="AM275" i="8" s="1"/>
  <c r="AD231" i="8"/>
  <c r="AE231" i="8" s="1"/>
  <c r="AF231" i="8" s="1"/>
  <c r="AG231" i="8" s="1"/>
  <c r="AH231" i="8" s="1"/>
  <c r="AI231" i="8" s="1"/>
  <c r="AJ231" i="8" s="1"/>
  <c r="AK231" i="8" s="1"/>
  <c r="AL231" i="8" s="1"/>
  <c r="AM231" i="8" s="1"/>
  <c r="AD205" i="8"/>
  <c r="AD166" i="8"/>
  <c r="AD163" i="8"/>
  <c r="AD187" i="8"/>
  <c r="AE187" i="8" s="1"/>
  <c r="AF187" i="8" s="1"/>
  <c r="AG187" i="8" s="1"/>
  <c r="AH187" i="8" s="1"/>
  <c r="AI187" i="8" s="1"/>
  <c r="AJ187" i="8" s="1"/>
  <c r="AK187" i="8" s="1"/>
  <c r="AL187" i="8" s="1"/>
  <c r="AM187" i="8" s="1"/>
  <c r="AD165" i="8"/>
  <c r="AD143" i="8"/>
  <c r="AE143" i="8" s="1"/>
  <c r="AF143" i="8" s="1"/>
  <c r="AG143" i="8" s="1"/>
  <c r="AH143" i="8" s="1"/>
  <c r="AI143" i="8" s="1"/>
  <c r="AJ143" i="8" s="1"/>
  <c r="AK143" i="8" s="1"/>
  <c r="AL143" i="8" s="1"/>
  <c r="AM143" i="8" s="1"/>
  <c r="AD164" i="8"/>
  <c r="AD206" i="8"/>
  <c r="AD117" i="8"/>
  <c r="AD127" i="8"/>
  <c r="AD120" i="8"/>
  <c r="AD161" i="8"/>
  <c r="AD118" i="8"/>
  <c r="AD167" i="8"/>
  <c r="AD124" i="8"/>
  <c r="AD123" i="8"/>
  <c r="AD162" i="8"/>
  <c r="AD125" i="8"/>
  <c r="AD122" i="8"/>
  <c r="AD128" i="8"/>
  <c r="AD119" i="8"/>
  <c r="AD121" i="8"/>
  <c r="AD99" i="8"/>
  <c r="AE99" i="8" s="1"/>
  <c r="AF99" i="8" s="1"/>
  <c r="AG99" i="8" s="1"/>
  <c r="AH99" i="8" s="1"/>
  <c r="AI99" i="8" s="1"/>
  <c r="AJ99" i="8" s="1"/>
  <c r="AK99" i="8" s="1"/>
  <c r="AL99" i="8" s="1"/>
  <c r="AM99" i="8" s="1"/>
  <c r="AD126" i="8"/>
  <c r="D249" i="8"/>
  <c r="E249" i="8" s="1"/>
  <c r="F249" i="8" s="1"/>
  <c r="D117" i="8"/>
  <c r="E117" i="8" s="1"/>
  <c r="D205" i="8"/>
  <c r="E205" i="8" s="1"/>
  <c r="D161" i="8"/>
  <c r="E161" i="8" s="1"/>
  <c r="D73" i="8"/>
  <c r="E73" i="8" s="1"/>
  <c r="F73" i="8" s="1"/>
  <c r="AJ281" i="8"/>
  <c r="AK281" i="8" s="1"/>
  <c r="AL281" i="8" s="1"/>
  <c r="AM281" i="8" s="1"/>
  <c r="AJ280" i="8"/>
  <c r="AK280" i="8" s="1"/>
  <c r="AL280" i="8" s="1"/>
  <c r="AM280" i="8" s="1"/>
  <c r="AJ249" i="8"/>
  <c r="AJ251" i="8"/>
  <c r="AJ237" i="8"/>
  <c r="AK237" i="8" s="1"/>
  <c r="AL237" i="8" s="1"/>
  <c r="AM237" i="8" s="1"/>
  <c r="AJ236" i="8"/>
  <c r="AK236" i="8" s="1"/>
  <c r="AL236" i="8" s="1"/>
  <c r="AM236" i="8" s="1"/>
  <c r="AJ209" i="8"/>
  <c r="AJ206" i="8"/>
  <c r="AJ212" i="8"/>
  <c r="AJ193" i="8"/>
  <c r="AK193" i="8" s="1"/>
  <c r="AL193" i="8" s="1"/>
  <c r="AM193" i="8" s="1"/>
  <c r="AJ173" i="8"/>
  <c r="AJ162" i="8"/>
  <c r="AJ168" i="8"/>
  <c r="AJ167" i="8"/>
  <c r="AJ210" i="8"/>
  <c r="AJ208" i="8"/>
  <c r="AJ169" i="8"/>
  <c r="AJ166" i="8"/>
  <c r="AJ211" i="8"/>
  <c r="AJ207" i="8"/>
  <c r="AJ172" i="8"/>
  <c r="AJ163" i="8"/>
  <c r="AJ148" i="8"/>
  <c r="AK148" i="8" s="1"/>
  <c r="AL148" i="8" s="1"/>
  <c r="AM148" i="8" s="1"/>
  <c r="AJ132" i="8"/>
  <c r="AJ131" i="8"/>
  <c r="AJ164" i="8"/>
  <c r="AJ128" i="8"/>
  <c r="AJ119" i="8"/>
  <c r="AJ104" i="8"/>
  <c r="AK104" i="8" s="1"/>
  <c r="AL104" i="8" s="1"/>
  <c r="AM104" i="8" s="1"/>
  <c r="AJ161" i="8"/>
  <c r="AJ126" i="8"/>
  <c r="AJ121" i="8"/>
  <c r="AJ105" i="8"/>
  <c r="AK105" i="8" s="1"/>
  <c r="AL105" i="8" s="1"/>
  <c r="AM105" i="8" s="1"/>
  <c r="AJ165" i="8"/>
  <c r="AJ130" i="8"/>
  <c r="AJ117" i="8"/>
  <c r="AJ171" i="8"/>
  <c r="AJ127" i="8"/>
  <c r="AJ120" i="8"/>
  <c r="AJ129" i="8"/>
  <c r="AJ133" i="8"/>
  <c r="AJ149" i="8"/>
  <c r="AK149" i="8" s="1"/>
  <c r="AL149" i="8" s="1"/>
  <c r="AM149" i="8" s="1"/>
  <c r="AJ124" i="8"/>
  <c r="AJ123" i="8"/>
  <c r="AJ205" i="8"/>
  <c r="AJ192" i="8"/>
  <c r="AK192" i="8" s="1"/>
  <c r="AL192" i="8" s="1"/>
  <c r="AM192" i="8" s="1"/>
  <c r="AJ125" i="8"/>
  <c r="AJ122" i="8"/>
  <c r="AJ118" i="8"/>
  <c r="AJ170" i="8"/>
  <c r="AJ134" i="8"/>
  <c r="T265" i="8"/>
  <c r="U265" i="8" s="1"/>
  <c r="V265" i="8" s="1"/>
  <c r="W265" i="8" s="1"/>
  <c r="X265" i="8" s="1"/>
  <c r="Y265" i="8" s="1"/>
  <c r="Z265" i="8" s="1"/>
  <c r="AA265" i="8" s="1"/>
  <c r="AB265" i="8" s="1"/>
  <c r="AC265" i="8" s="1"/>
  <c r="AD265" i="8" s="1"/>
  <c r="AE265" i="8" s="1"/>
  <c r="AF265" i="8" s="1"/>
  <c r="AG265" i="8" s="1"/>
  <c r="AH265" i="8" s="1"/>
  <c r="AI265" i="8" s="1"/>
  <c r="AJ265" i="8" s="1"/>
  <c r="AK265" i="8" s="1"/>
  <c r="AL265" i="8" s="1"/>
  <c r="AM265" i="8" s="1"/>
  <c r="T221" i="8"/>
  <c r="T177" i="8"/>
  <c r="T117" i="8"/>
  <c r="T133" i="8"/>
  <c r="U133" i="8" s="1"/>
  <c r="V133" i="8" s="1"/>
  <c r="W133" i="8" s="1"/>
  <c r="X133" i="8" s="1"/>
  <c r="Y133" i="8" s="1"/>
  <c r="Z133" i="8" s="1"/>
  <c r="AA133" i="8" s="1"/>
  <c r="AB133" i="8" s="1"/>
  <c r="AC133" i="8" s="1"/>
  <c r="AD133" i="8" s="1"/>
  <c r="AE133" i="8" s="1"/>
  <c r="AF133" i="8" s="1"/>
  <c r="AG133" i="8" s="1"/>
  <c r="AH133" i="8" s="1"/>
  <c r="T89" i="8"/>
  <c r="T118" i="8"/>
  <c r="Z271" i="8"/>
  <c r="AA271" i="8" s="1"/>
  <c r="AB271" i="8" s="1"/>
  <c r="AC271" i="8" s="1"/>
  <c r="AD271" i="8" s="1"/>
  <c r="AE271" i="8" s="1"/>
  <c r="AF271" i="8" s="1"/>
  <c r="AG271" i="8" s="1"/>
  <c r="AH271" i="8" s="1"/>
  <c r="AI271" i="8" s="1"/>
  <c r="AJ271" i="8" s="1"/>
  <c r="AK271" i="8" s="1"/>
  <c r="AL271" i="8" s="1"/>
  <c r="AM271" i="8" s="1"/>
  <c r="Z227" i="8"/>
  <c r="Z161" i="8"/>
  <c r="Z139" i="8"/>
  <c r="AA139" i="8" s="1"/>
  <c r="AB139" i="8" s="1"/>
  <c r="AC139" i="8" s="1"/>
  <c r="AD139" i="8" s="1"/>
  <c r="AE139" i="8" s="1"/>
  <c r="AF139" i="8" s="1"/>
  <c r="AG139" i="8" s="1"/>
  <c r="AH139" i="8" s="1"/>
  <c r="AI139" i="8" s="1"/>
  <c r="AJ139" i="8" s="1"/>
  <c r="AK139" i="8" s="1"/>
  <c r="AL139" i="8" s="1"/>
  <c r="AM139" i="8" s="1"/>
  <c r="Z162" i="8"/>
  <c r="Z183" i="8"/>
  <c r="Z163" i="8"/>
  <c r="Z124" i="8"/>
  <c r="Z123" i="8"/>
  <c r="Z122" i="8"/>
  <c r="Z121" i="8"/>
  <c r="Z120" i="8"/>
  <c r="Z85" i="8"/>
  <c r="Z119" i="8"/>
  <c r="Z118" i="8"/>
  <c r="Z95" i="8"/>
  <c r="AA95" i="8" s="1"/>
  <c r="AB95" i="8" s="1"/>
  <c r="AC95" i="8" s="1"/>
  <c r="AD95" i="8" s="1"/>
  <c r="AE95" i="8" s="1"/>
  <c r="AF95" i="8" s="1"/>
  <c r="AG95" i="8" s="1"/>
  <c r="AH95" i="8" s="1"/>
  <c r="AI95" i="8" s="1"/>
  <c r="AJ95" i="8" s="1"/>
  <c r="AK95" i="8" s="1"/>
  <c r="AL95" i="8" s="1"/>
  <c r="AM95" i="8" s="1"/>
  <c r="Z117" i="8"/>
  <c r="S264" i="8"/>
  <c r="T264" i="8" s="1"/>
  <c r="U264" i="8" s="1"/>
  <c r="V264" i="8" s="1"/>
  <c r="W264" i="8" s="1"/>
  <c r="X264" i="8" s="1"/>
  <c r="Y264" i="8" s="1"/>
  <c r="Z264" i="8" s="1"/>
  <c r="AA264" i="8" s="1"/>
  <c r="AB264" i="8" s="1"/>
  <c r="AC264" i="8" s="1"/>
  <c r="AD264" i="8" s="1"/>
  <c r="AE264" i="8" s="1"/>
  <c r="AF264" i="8" s="1"/>
  <c r="AG264" i="8" s="1"/>
  <c r="AH264" i="8" s="1"/>
  <c r="AI264" i="8" s="1"/>
  <c r="AJ264" i="8" s="1"/>
  <c r="AK264" i="8" s="1"/>
  <c r="AL264" i="8" s="1"/>
  <c r="AM264" i="8" s="1"/>
  <c r="S220" i="8"/>
  <c r="S176" i="8"/>
  <c r="T176" i="8" s="1"/>
  <c r="U176" i="8" s="1"/>
  <c r="V176" i="8" s="1"/>
  <c r="W176" i="8" s="1"/>
  <c r="X176" i="8" s="1"/>
  <c r="Y176" i="8" s="1"/>
  <c r="Z176" i="8" s="1"/>
  <c r="AA176" i="8" s="1"/>
  <c r="AB176" i="8" s="1"/>
  <c r="AC176" i="8" s="1"/>
  <c r="AD176" i="8" s="1"/>
  <c r="AE176" i="8" s="1"/>
  <c r="AF176" i="8" s="1"/>
  <c r="AG176" i="8" s="1"/>
  <c r="AH176" i="8" s="1"/>
  <c r="AI176" i="8" s="1"/>
  <c r="AJ176" i="8" s="1"/>
  <c r="AK176" i="8" s="1"/>
  <c r="AL176" i="8" s="1"/>
  <c r="S117" i="8"/>
  <c r="S132" i="8"/>
  <c r="S88" i="8"/>
  <c r="T88" i="8" s="1"/>
  <c r="U88" i="8" s="1"/>
  <c r="V88" i="8" s="1"/>
  <c r="W88" i="8" s="1"/>
  <c r="X88" i="8" s="1"/>
  <c r="Y88" i="8" s="1"/>
  <c r="Z88" i="8" s="1"/>
  <c r="AA88" i="8" s="1"/>
  <c r="AB88" i="8" s="1"/>
  <c r="L257" i="8"/>
  <c r="M257" i="8" s="1"/>
  <c r="N257" i="8" s="1"/>
  <c r="O257" i="8" s="1"/>
  <c r="P257" i="8" s="1"/>
  <c r="Q257" i="8" s="1"/>
  <c r="R257" i="8" s="1"/>
  <c r="S257" i="8" s="1"/>
  <c r="T257" i="8" s="1"/>
  <c r="U257" i="8" s="1"/>
  <c r="V257" i="8" s="1"/>
  <c r="W257" i="8" s="1"/>
  <c r="X257" i="8" s="1"/>
  <c r="Y257" i="8" s="1"/>
  <c r="Z257" i="8" s="1"/>
  <c r="AA257" i="8" s="1"/>
  <c r="AB257" i="8" s="1"/>
  <c r="AC257" i="8" s="1"/>
  <c r="AD257" i="8" s="1"/>
  <c r="AE257" i="8" s="1"/>
  <c r="AF257" i="8" s="1"/>
  <c r="AG257" i="8" s="1"/>
  <c r="AH257" i="8" s="1"/>
  <c r="AI257" i="8" s="1"/>
  <c r="AJ257" i="8" s="1"/>
  <c r="AK257" i="8" s="1"/>
  <c r="AL257" i="8" s="1"/>
  <c r="AM257" i="8" s="1"/>
  <c r="L213" i="8"/>
  <c r="M213" i="8" s="1"/>
  <c r="N213" i="8" s="1"/>
  <c r="O213" i="8" s="1"/>
  <c r="P213" i="8" s="1"/>
  <c r="Q213" i="8" s="1"/>
  <c r="R213" i="8" s="1"/>
  <c r="S213" i="8" s="1"/>
  <c r="T213" i="8" s="1"/>
  <c r="U213" i="8" s="1"/>
  <c r="V213" i="8" s="1"/>
  <c r="W213" i="8" s="1"/>
  <c r="X213" i="8" s="1"/>
  <c r="Y213" i="8" s="1"/>
  <c r="Z213" i="8" s="1"/>
  <c r="AA213" i="8" s="1"/>
  <c r="AB213" i="8" s="1"/>
  <c r="AC213" i="8" s="1"/>
  <c r="AD213" i="8" s="1"/>
  <c r="AE213" i="8" s="1"/>
  <c r="AF213" i="8" s="1"/>
  <c r="AG213" i="8" s="1"/>
  <c r="AH213" i="8" s="1"/>
  <c r="AI213" i="8" s="1"/>
  <c r="AJ213" i="8" s="1"/>
  <c r="L169" i="8"/>
  <c r="M169" i="8" s="1"/>
  <c r="N169" i="8" s="1"/>
  <c r="O169" i="8" s="1"/>
  <c r="P169" i="8" s="1"/>
  <c r="Q169" i="8" s="1"/>
  <c r="R169" i="8" s="1"/>
  <c r="S169" i="8" s="1"/>
  <c r="T169" i="8" s="1"/>
  <c r="U169" i="8" s="1"/>
  <c r="V169" i="8" s="1"/>
  <c r="W169" i="8" s="1"/>
  <c r="X169" i="8" s="1"/>
  <c r="Y169" i="8" s="1"/>
  <c r="Z169" i="8" s="1"/>
  <c r="AA169" i="8" s="1"/>
  <c r="AB169" i="8" s="1"/>
  <c r="AC169" i="8" s="1"/>
  <c r="AD169" i="8" s="1"/>
  <c r="AE169" i="8" s="1"/>
  <c r="L81" i="8"/>
  <c r="M81" i="8" s="1"/>
  <c r="N81" i="8" s="1"/>
  <c r="O81" i="8" s="1"/>
  <c r="P81" i="8" s="1"/>
  <c r="Q81" i="8" s="1"/>
  <c r="R81" i="8" s="1"/>
  <c r="S81" i="8" s="1"/>
  <c r="T81" i="8" s="1"/>
  <c r="U81" i="8" s="1"/>
  <c r="V81" i="8" s="1"/>
  <c r="W81" i="8" s="1"/>
  <c r="X81" i="8" s="1"/>
  <c r="Y81" i="8" s="1"/>
  <c r="Z81" i="8" s="1"/>
  <c r="AA81" i="8" s="1"/>
  <c r="AB81" i="8" s="1"/>
  <c r="AC81" i="8" s="1"/>
  <c r="AD81" i="8" s="1"/>
  <c r="AE81" i="8" s="1"/>
  <c r="AF81" i="8" s="1"/>
  <c r="AG81" i="8" s="1"/>
  <c r="AH81" i="8" s="1"/>
  <c r="AI81" i="8" s="1"/>
  <c r="AJ81" i="8" s="1"/>
  <c r="AK81" i="8" s="1"/>
  <c r="AL81" i="8" s="1"/>
  <c r="AM81" i="8" s="1"/>
  <c r="L125" i="8"/>
  <c r="M125" i="8" s="1"/>
  <c r="N125" i="8" s="1"/>
  <c r="O125" i="8" s="1"/>
  <c r="P125" i="8" s="1"/>
  <c r="Q125" i="8" s="1"/>
  <c r="R125" i="8" s="1"/>
  <c r="S125" i="8" s="1"/>
  <c r="T125" i="8" s="1"/>
  <c r="U125" i="8" s="1"/>
  <c r="V125" i="8" s="1"/>
  <c r="W125" i="8" s="1"/>
  <c r="X125" i="8" s="1"/>
  <c r="Y125" i="8" s="1"/>
  <c r="Z125" i="8" s="1"/>
  <c r="E250" i="8"/>
  <c r="F250" i="8" s="1"/>
  <c r="G250" i="8" s="1"/>
  <c r="H250" i="8" s="1"/>
  <c r="I250" i="8" s="1"/>
  <c r="J250" i="8" s="1"/>
  <c r="K250" i="8" s="1"/>
  <c r="L250" i="8" s="1"/>
  <c r="M250" i="8" s="1"/>
  <c r="N250" i="8" s="1"/>
  <c r="O250" i="8" s="1"/>
  <c r="P250" i="8" s="1"/>
  <c r="Q250" i="8" s="1"/>
  <c r="R250" i="8" s="1"/>
  <c r="S250" i="8" s="1"/>
  <c r="T250" i="8" s="1"/>
  <c r="U250" i="8" s="1"/>
  <c r="V250" i="8" s="1"/>
  <c r="W250" i="8" s="1"/>
  <c r="X250" i="8" s="1"/>
  <c r="Y250" i="8" s="1"/>
  <c r="Z250" i="8" s="1"/>
  <c r="AA250" i="8" s="1"/>
  <c r="AB250" i="8" s="1"/>
  <c r="AC250" i="8" s="1"/>
  <c r="AD250" i="8" s="1"/>
  <c r="AE250" i="8" s="1"/>
  <c r="AF250" i="8" s="1"/>
  <c r="AG250" i="8" s="1"/>
  <c r="AH250" i="8" s="1"/>
  <c r="E206" i="8"/>
  <c r="E118" i="8"/>
  <c r="E162" i="8"/>
  <c r="E74" i="8"/>
  <c r="X269" i="8"/>
  <c r="X225" i="8"/>
  <c r="X181" i="8"/>
  <c r="X161" i="8"/>
  <c r="X120" i="8"/>
  <c r="X118" i="8"/>
  <c r="X122" i="8"/>
  <c r="X93" i="8"/>
  <c r="Y93" i="8" s="1"/>
  <c r="Z93" i="8" s="1"/>
  <c r="AA93" i="8" s="1"/>
  <c r="AB93" i="8" s="1"/>
  <c r="AC93" i="8" s="1"/>
  <c r="AD93" i="8" s="1"/>
  <c r="AE93" i="8" s="1"/>
  <c r="AF93" i="8" s="1"/>
  <c r="AG93" i="8" s="1"/>
  <c r="X137" i="8"/>
  <c r="X119" i="8"/>
  <c r="X121" i="8"/>
  <c r="X117" i="8"/>
  <c r="Q262" i="8"/>
  <c r="R262" i="8" s="1"/>
  <c r="S262" i="8" s="1"/>
  <c r="T262" i="8" s="1"/>
  <c r="U262" i="8" s="1"/>
  <c r="V262" i="8" s="1"/>
  <c r="W262" i="8" s="1"/>
  <c r="X262" i="8" s="1"/>
  <c r="Y262" i="8" s="1"/>
  <c r="Z262" i="8" s="1"/>
  <c r="AA262" i="8" s="1"/>
  <c r="AB262" i="8" s="1"/>
  <c r="AC262" i="8" s="1"/>
  <c r="AD262" i="8" s="1"/>
  <c r="AE262" i="8" s="1"/>
  <c r="AF262" i="8" s="1"/>
  <c r="AG262" i="8" s="1"/>
  <c r="AH262" i="8" s="1"/>
  <c r="AI262" i="8" s="1"/>
  <c r="AJ262" i="8" s="1"/>
  <c r="AK262" i="8" s="1"/>
  <c r="AL262" i="8" s="1"/>
  <c r="AM262" i="8" s="1"/>
  <c r="Q218" i="8"/>
  <c r="R218" i="8" s="1"/>
  <c r="S218" i="8" s="1"/>
  <c r="T218" i="8" s="1"/>
  <c r="U218" i="8" s="1"/>
  <c r="V218" i="8" s="1"/>
  <c r="W218" i="8" s="1"/>
  <c r="X218" i="8" s="1"/>
  <c r="Y218" i="8" s="1"/>
  <c r="Z218" i="8" s="1"/>
  <c r="AA218" i="8" s="1"/>
  <c r="AB218" i="8" s="1"/>
  <c r="AC218" i="8" s="1"/>
  <c r="AD218" i="8" s="1"/>
  <c r="AE218" i="8" s="1"/>
  <c r="AF218" i="8" s="1"/>
  <c r="AG218" i="8" s="1"/>
  <c r="AH218" i="8" s="1"/>
  <c r="AI218" i="8" s="1"/>
  <c r="AJ218" i="8" s="1"/>
  <c r="AK218" i="8" s="1"/>
  <c r="AL218" i="8" s="1"/>
  <c r="AM218" i="8" s="1"/>
  <c r="Q174" i="8"/>
  <c r="R174" i="8" s="1"/>
  <c r="S174" i="8" s="1"/>
  <c r="T174" i="8" s="1"/>
  <c r="U174" i="8" s="1"/>
  <c r="V174" i="8" s="1"/>
  <c r="W174" i="8" s="1"/>
  <c r="X174" i="8" s="1"/>
  <c r="Y174" i="8" s="1"/>
  <c r="Z174" i="8" s="1"/>
  <c r="AA174" i="8" s="1"/>
  <c r="AB174" i="8" s="1"/>
  <c r="AC174" i="8" s="1"/>
  <c r="AD174" i="8" s="1"/>
  <c r="AE174" i="8" s="1"/>
  <c r="AF174" i="8" s="1"/>
  <c r="AG174" i="8" s="1"/>
  <c r="AH174" i="8" s="1"/>
  <c r="AI174" i="8" s="1"/>
  <c r="AJ174" i="8" s="1"/>
  <c r="Q130" i="8"/>
  <c r="R130" i="8" s="1"/>
  <c r="S130" i="8" s="1"/>
  <c r="T130" i="8" s="1"/>
  <c r="U130" i="8" s="1"/>
  <c r="V130" i="8" s="1"/>
  <c r="W130" i="8" s="1"/>
  <c r="X130" i="8" s="1"/>
  <c r="Y130" i="8" s="1"/>
  <c r="Z130" i="8" s="1"/>
  <c r="AA130" i="8" s="1"/>
  <c r="AB130" i="8" s="1"/>
  <c r="AC130" i="8" s="1"/>
  <c r="AD130" i="8" s="1"/>
  <c r="AE130" i="8" s="1"/>
  <c r="Q86" i="8"/>
  <c r="R86" i="8" s="1"/>
  <c r="S86" i="8" s="1"/>
  <c r="T86" i="8" s="1"/>
  <c r="U86" i="8" s="1"/>
  <c r="V86" i="8" s="1"/>
  <c r="W86" i="8" s="1"/>
  <c r="X86" i="8" s="1"/>
  <c r="Y86" i="8" s="1"/>
  <c r="Z86" i="8" s="1"/>
  <c r="N259" i="8"/>
  <c r="N215" i="8"/>
  <c r="N171" i="8"/>
  <c r="O171" i="8" s="1"/>
  <c r="P171" i="8" s="1"/>
  <c r="Q171" i="8" s="1"/>
  <c r="R171" i="8" s="1"/>
  <c r="S171" i="8" s="1"/>
  <c r="T171" i="8" s="1"/>
  <c r="U171" i="8" s="1"/>
  <c r="V171" i="8" s="1"/>
  <c r="W171" i="8" s="1"/>
  <c r="X171" i="8" s="1"/>
  <c r="Y171" i="8" s="1"/>
  <c r="Z171" i="8" s="1"/>
  <c r="AA171" i="8" s="1"/>
  <c r="AB171" i="8" s="1"/>
  <c r="AC171" i="8" s="1"/>
  <c r="AD171" i="8" s="1"/>
  <c r="AE171" i="8" s="1"/>
  <c r="AF171" i="8" s="1"/>
  <c r="AG171" i="8" s="1"/>
  <c r="N127" i="8"/>
  <c r="N83" i="8"/>
  <c r="O83" i="8" s="1"/>
  <c r="P83" i="8" s="1"/>
  <c r="Q83" i="8" s="1"/>
  <c r="R83" i="8" s="1"/>
  <c r="S83" i="8" s="1"/>
  <c r="T83" i="8" s="1"/>
  <c r="U83" i="8" s="1"/>
  <c r="V83" i="8" s="1"/>
  <c r="W83" i="8" s="1"/>
  <c r="X83" i="8" s="1"/>
  <c r="Y83" i="8" s="1"/>
  <c r="Z83" i="8" s="1"/>
  <c r="AA83" i="8" s="1"/>
  <c r="AB83" i="8" s="1"/>
  <c r="AC83" i="8" s="1"/>
  <c r="AD83" i="8" s="1"/>
  <c r="AE83" i="8" s="1"/>
  <c r="AF83" i="8" s="1"/>
  <c r="AG83" i="8" s="1"/>
  <c r="AH83" i="8" s="1"/>
  <c r="AI83" i="8" s="1"/>
  <c r="AJ83" i="8" s="1"/>
  <c r="AK83" i="8" s="1"/>
  <c r="AL83" i="8" s="1"/>
  <c r="AM83" i="8" s="1"/>
  <c r="W268" i="8"/>
  <c r="X268" i="8" s="1"/>
  <c r="Y268" i="8" s="1"/>
  <c r="Z268" i="8" s="1"/>
  <c r="AA268" i="8" s="1"/>
  <c r="AB268" i="8" s="1"/>
  <c r="AC268" i="8" s="1"/>
  <c r="AD268" i="8" s="1"/>
  <c r="AE268" i="8" s="1"/>
  <c r="AF268" i="8" s="1"/>
  <c r="AG268" i="8" s="1"/>
  <c r="AH268" i="8" s="1"/>
  <c r="AI268" i="8" s="1"/>
  <c r="AJ268" i="8" s="1"/>
  <c r="AK268" i="8" s="1"/>
  <c r="AL268" i="8" s="1"/>
  <c r="AM268" i="8" s="1"/>
  <c r="W224" i="8"/>
  <c r="W136" i="8"/>
  <c r="X136" i="8" s="1"/>
  <c r="Y136" i="8" s="1"/>
  <c r="Z136" i="8" s="1"/>
  <c r="AA136" i="8" s="1"/>
  <c r="AB136" i="8" s="1"/>
  <c r="AC136" i="8" s="1"/>
  <c r="AD136" i="8" s="1"/>
  <c r="AE136" i="8" s="1"/>
  <c r="AF136" i="8" s="1"/>
  <c r="AG136" i="8" s="1"/>
  <c r="AH136" i="8" s="1"/>
  <c r="AI136" i="8" s="1"/>
  <c r="AJ136" i="8" s="1"/>
  <c r="AK136" i="8" s="1"/>
  <c r="W117" i="8"/>
  <c r="W120" i="8"/>
  <c r="W119" i="8"/>
  <c r="W121" i="8"/>
  <c r="W180" i="8"/>
  <c r="X180" i="8" s="1"/>
  <c r="Y180" i="8" s="1"/>
  <c r="Z180" i="8" s="1"/>
  <c r="AA180" i="8" s="1"/>
  <c r="AB180" i="8" s="1"/>
  <c r="AC180" i="8" s="1"/>
  <c r="AD180" i="8" s="1"/>
  <c r="AE180" i="8" s="1"/>
  <c r="AF180" i="8" s="1"/>
  <c r="AG180" i="8" s="1"/>
  <c r="AH180" i="8" s="1"/>
  <c r="AI180" i="8" s="1"/>
  <c r="AJ180" i="8" s="1"/>
  <c r="AK180" i="8" s="1"/>
  <c r="AL180" i="8" s="1"/>
  <c r="AM180" i="8" s="1"/>
  <c r="W92" i="8"/>
  <c r="W118" i="8"/>
  <c r="W82" i="8"/>
  <c r="X82" i="8" s="1"/>
  <c r="Y82" i="8" s="1"/>
  <c r="Z82" i="8" s="1"/>
  <c r="AA82" i="8" s="1"/>
  <c r="AB82" i="8" s="1"/>
  <c r="AC82" i="8" s="1"/>
  <c r="AD82" i="8" s="1"/>
  <c r="AE82" i="8" s="1"/>
  <c r="AF82" i="8" s="1"/>
  <c r="AG82" i="8" s="1"/>
  <c r="AH82" i="8" s="1"/>
  <c r="AI82" i="8" s="1"/>
  <c r="AJ82" i="8" s="1"/>
  <c r="AK82" i="8" s="1"/>
  <c r="AL82" i="8" s="1"/>
  <c r="AM82" i="8" s="1"/>
  <c r="AL283" i="8"/>
  <c r="AM283" i="8" s="1"/>
  <c r="AL253" i="8"/>
  <c r="AL252" i="8"/>
  <c r="AL251" i="8"/>
  <c r="AL249" i="8"/>
  <c r="AL239" i="8"/>
  <c r="AM239" i="8" s="1"/>
  <c r="AL208" i="8"/>
  <c r="AL209" i="8"/>
  <c r="AL195" i="8"/>
  <c r="AM195" i="8" s="1"/>
  <c r="AL212" i="8"/>
  <c r="AL210" i="8"/>
  <c r="AL214" i="8"/>
  <c r="AL211" i="8"/>
  <c r="AL205" i="8"/>
  <c r="AL169" i="8"/>
  <c r="AL166" i="8"/>
  <c r="AL172" i="8"/>
  <c r="AL163" i="8"/>
  <c r="AL132" i="8"/>
  <c r="AL131" i="8"/>
  <c r="AL207" i="8"/>
  <c r="AL206" i="8"/>
  <c r="AL170" i="8"/>
  <c r="AL165" i="8"/>
  <c r="AL133" i="8"/>
  <c r="AL213" i="8"/>
  <c r="AL175" i="8"/>
  <c r="AL136" i="8"/>
  <c r="AL171" i="8"/>
  <c r="AL164" i="8"/>
  <c r="AL161" i="8"/>
  <c r="AL167" i="8"/>
  <c r="AL130" i="8"/>
  <c r="AL117" i="8"/>
  <c r="AL162" i="8"/>
  <c r="AL127" i="8"/>
  <c r="AL120" i="8"/>
  <c r="AL151" i="8"/>
  <c r="AM151" i="8" s="1"/>
  <c r="AL129" i="8"/>
  <c r="AL118" i="8"/>
  <c r="AL174" i="8"/>
  <c r="AL124" i="8"/>
  <c r="AL123" i="8"/>
  <c r="AL107" i="8"/>
  <c r="AM107" i="8" s="1"/>
  <c r="AL168" i="8"/>
  <c r="AL134" i="8"/>
  <c r="AL125" i="8"/>
  <c r="AL122" i="8"/>
  <c r="AL135" i="8"/>
  <c r="AL126" i="8"/>
  <c r="AL121" i="8"/>
  <c r="AL173" i="8"/>
  <c r="AL128" i="8"/>
  <c r="AL119" i="8"/>
  <c r="G252" i="8"/>
  <c r="G208" i="8"/>
  <c r="G120" i="8"/>
  <c r="H120" i="8" s="1"/>
  <c r="I120" i="8" s="1"/>
  <c r="J120" i="8" s="1"/>
  <c r="K120" i="8" s="1"/>
  <c r="L120" i="8" s="1"/>
  <c r="M120" i="8" s="1"/>
  <c r="N120" i="8" s="1"/>
  <c r="O120" i="8" s="1"/>
  <c r="P120" i="8" s="1"/>
  <c r="Q120" i="8" s="1"/>
  <c r="R120" i="8" s="1"/>
  <c r="S120" i="8" s="1"/>
  <c r="T120" i="8" s="1"/>
  <c r="U120" i="8" s="1"/>
  <c r="G164" i="8"/>
  <c r="G76" i="8"/>
  <c r="I254" i="8"/>
  <c r="J254" i="8" s="1"/>
  <c r="K254" i="8" s="1"/>
  <c r="L254" i="8" s="1"/>
  <c r="M254" i="8" s="1"/>
  <c r="N254" i="8" s="1"/>
  <c r="O254" i="8" s="1"/>
  <c r="P254" i="8" s="1"/>
  <c r="Q254" i="8" s="1"/>
  <c r="R254" i="8" s="1"/>
  <c r="S254" i="8" s="1"/>
  <c r="T254" i="8" s="1"/>
  <c r="U254" i="8" s="1"/>
  <c r="V254" i="8" s="1"/>
  <c r="W254" i="8" s="1"/>
  <c r="X254" i="8" s="1"/>
  <c r="Y254" i="8" s="1"/>
  <c r="Z254" i="8" s="1"/>
  <c r="AA254" i="8" s="1"/>
  <c r="AB254" i="8" s="1"/>
  <c r="AC254" i="8" s="1"/>
  <c r="AD254" i="8" s="1"/>
  <c r="AE254" i="8" s="1"/>
  <c r="AF254" i="8" s="1"/>
  <c r="AG254" i="8" s="1"/>
  <c r="AH254" i="8" s="1"/>
  <c r="AI254" i="8" s="1"/>
  <c r="AJ254" i="8" s="1"/>
  <c r="AK254" i="8" s="1"/>
  <c r="AL254" i="8" s="1"/>
  <c r="I210" i="8"/>
  <c r="J210" i="8" s="1"/>
  <c r="K210" i="8" s="1"/>
  <c r="L210" i="8" s="1"/>
  <c r="M210" i="8" s="1"/>
  <c r="N210" i="8" s="1"/>
  <c r="O210" i="8" s="1"/>
  <c r="P210" i="8" s="1"/>
  <c r="Q210" i="8" s="1"/>
  <c r="R210" i="8" s="1"/>
  <c r="S210" i="8" s="1"/>
  <c r="T210" i="8" s="1"/>
  <c r="U210" i="8" s="1"/>
  <c r="V210" i="8" s="1"/>
  <c r="W210" i="8" s="1"/>
  <c r="X210" i="8" s="1"/>
  <c r="Y210" i="8" s="1"/>
  <c r="Z210" i="8" s="1"/>
  <c r="AA210" i="8" s="1"/>
  <c r="AB210" i="8" s="1"/>
  <c r="AC210" i="8" s="1"/>
  <c r="AD210" i="8" s="1"/>
  <c r="AE210" i="8" s="1"/>
  <c r="AF210" i="8" s="1"/>
  <c r="AG210" i="8" s="1"/>
  <c r="I166" i="8"/>
  <c r="J166" i="8" s="1"/>
  <c r="K166" i="8" s="1"/>
  <c r="L166" i="8" s="1"/>
  <c r="M166" i="8" s="1"/>
  <c r="N166" i="8" s="1"/>
  <c r="O166" i="8" s="1"/>
  <c r="P166" i="8" s="1"/>
  <c r="Q166" i="8" s="1"/>
  <c r="R166" i="8" s="1"/>
  <c r="S166" i="8" s="1"/>
  <c r="T166" i="8" s="1"/>
  <c r="U166" i="8" s="1"/>
  <c r="V166" i="8" s="1"/>
  <c r="W166" i="8" s="1"/>
  <c r="X166" i="8" s="1"/>
  <c r="Y166" i="8" s="1"/>
  <c r="Z166" i="8" s="1"/>
  <c r="AA166" i="8" s="1"/>
  <c r="AB166" i="8" s="1"/>
  <c r="I122" i="8"/>
  <c r="I78" i="8"/>
  <c r="AH279" i="8"/>
  <c r="AI279" i="8" s="1"/>
  <c r="AJ279" i="8" s="1"/>
  <c r="AK279" i="8" s="1"/>
  <c r="AL279" i="8" s="1"/>
  <c r="AM279" i="8" s="1"/>
  <c r="AH249" i="8"/>
  <c r="AH207" i="8"/>
  <c r="AH209" i="8"/>
  <c r="AH208" i="8"/>
  <c r="AH235" i="8"/>
  <c r="AI235" i="8" s="1"/>
  <c r="AJ235" i="8" s="1"/>
  <c r="AK235" i="8" s="1"/>
  <c r="AL235" i="8" s="1"/>
  <c r="AM235" i="8" s="1"/>
  <c r="AH205" i="8"/>
  <c r="AH210" i="8"/>
  <c r="AH161" i="8"/>
  <c r="AH191" i="8"/>
  <c r="AI191" i="8" s="1"/>
  <c r="AJ191" i="8" s="1"/>
  <c r="AK191" i="8" s="1"/>
  <c r="AL191" i="8" s="1"/>
  <c r="AM191" i="8" s="1"/>
  <c r="AH171" i="8"/>
  <c r="AH164" i="8"/>
  <c r="AH162" i="8"/>
  <c r="AH206" i="8"/>
  <c r="AH168" i="8"/>
  <c r="AH167" i="8"/>
  <c r="AH163" i="8"/>
  <c r="AH147" i="8"/>
  <c r="AI147" i="8" s="1"/>
  <c r="AJ147" i="8" s="1"/>
  <c r="AK147" i="8" s="1"/>
  <c r="AL147" i="8" s="1"/>
  <c r="AM147" i="8" s="1"/>
  <c r="AH132" i="8"/>
  <c r="AH131" i="8"/>
  <c r="AH124" i="8"/>
  <c r="AH123" i="8"/>
  <c r="AH125" i="8"/>
  <c r="AH122" i="8"/>
  <c r="AH93" i="8"/>
  <c r="AI93" i="8" s="1"/>
  <c r="AJ93" i="8" s="1"/>
  <c r="AK93" i="8" s="1"/>
  <c r="AL93" i="8" s="1"/>
  <c r="AM93" i="8" s="1"/>
  <c r="AH169" i="8"/>
  <c r="AH128" i="8"/>
  <c r="AH165" i="8"/>
  <c r="AH126" i="8"/>
  <c r="AH121" i="8"/>
  <c r="AH130" i="8"/>
  <c r="AH119" i="8"/>
  <c r="AH118" i="8"/>
  <c r="AH129" i="8"/>
  <c r="AH166" i="8"/>
  <c r="AH117" i="8"/>
  <c r="AH103" i="8"/>
  <c r="AI103" i="8" s="1"/>
  <c r="AJ103" i="8" s="1"/>
  <c r="AK103" i="8" s="1"/>
  <c r="AL103" i="8" s="1"/>
  <c r="AM103" i="8" s="1"/>
  <c r="AH120" i="8"/>
  <c r="AH170" i="8"/>
  <c r="AH127" i="8"/>
  <c r="AA272" i="8"/>
  <c r="AB272" i="8" s="1"/>
  <c r="AC272" i="8" s="1"/>
  <c r="AD272" i="8" s="1"/>
  <c r="AE272" i="8" s="1"/>
  <c r="AF272" i="8" s="1"/>
  <c r="AG272" i="8" s="1"/>
  <c r="AH272" i="8" s="1"/>
  <c r="AI272" i="8" s="1"/>
  <c r="AJ272" i="8" s="1"/>
  <c r="AK272" i="8" s="1"/>
  <c r="AL272" i="8" s="1"/>
  <c r="AM272" i="8" s="1"/>
  <c r="AA184" i="8"/>
  <c r="AA228" i="8"/>
  <c r="AB228" i="8" s="1"/>
  <c r="AC228" i="8" s="1"/>
  <c r="AD228" i="8" s="1"/>
  <c r="AE228" i="8" s="1"/>
  <c r="AF228" i="8" s="1"/>
  <c r="AG228" i="8" s="1"/>
  <c r="AH228" i="8" s="1"/>
  <c r="AI228" i="8" s="1"/>
  <c r="AJ228" i="8" s="1"/>
  <c r="AK228" i="8" s="1"/>
  <c r="AL228" i="8" s="1"/>
  <c r="AM228" i="8" s="1"/>
  <c r="AA164" i="8"/>
  <c r="AA140" i="8"/>
  <c r="AB140" i="8" s="1"/>
  <c r="AC140" i="8" s="1"/>
  <c r="AD140" i="8" s="1"/>
  <c r="AE140" i="8" s="1"/>
  <c r="AF140" i="8" s="1"/>
  <c r="AG140" i="8" s="1"/>
  <c r="AH140" i="8" s="1"/>
  <c r="AI140" i="8" s="1"/>
  <c r="AJ140" i="8" s="1"/>
  <c r="AK140" i="8" s="1"/>
  <c r="AL140" i="8" s="1"/>
  <c r="AM140" i="8" s="1"/>
  <c r="AA162" i="8"/>
  <c r="AA163" i="8"/>
  <c r="AA125" i="8"/>
  <c r="AA122" i="8"/>
  <c r="AA119" i="8"/>
  <c r="AA121" i="8"/>
  <c r="AA117" i="8"/>
  <c r="AA161" i="8"/>
  <c r="AA120" i="8"/>
  <c r="AA96" i="8"/>
  <c r="AB96" i="8" s="1"/>
  <c r="AC96" i="8" s="1"/>
  <c r="AD96" i="8" s="1"/>
  <c r="AE96" i="8" s="1"/>
  <c r="AF96" i="8" s="1"/>
  <c r="AG96" i="8" s="1"/>
  <c r="AH96" i="8" s="1"/>
  <c r="AI96" i="8" s="1"/>
  <c r="AJ96" i="8" s="1"/>
  <c r="AK96" i="8" s="1"/>
  <c r="AL96" i="8" s="1"/>
  <c r="AM96" i="8" s="1"/>
  <c r="AA118" i="8"/>
  <c r="AA86" i="8"/>
  <c r="AB86" i="8" s="1"/>
  <c r="AC86" i="8" s="1"/>
  <c r="AD86" i="8" s="1"/>
  <c r="AE86" i="8" s="1"/>
  <c r="AF86" i="8" s="1"/>
  <c r="AG86" i="8" s="1"/>
  <c r="AH86" i="8" s="1"/>
  <c r="AI86" i="8" s="1"/>
  <c r="AJ86" i="8" s="1"/>
  <c r="AK86" i="8" s="1"/>
  <c r="AL86" i="8" s="1"/>
  <c r="AM86" i="8" s="1"/>
  <c r="AA124" i="8"/>
  <c r="AA123" i="8"/>
  <c r="AA85" i="8"/>
  <c r="J255" i="8"/>
  <c r="K255" i="8" s="1"/>
  <c r="L255" i="8" s="1"/>
  <c r="M255" i="8" s="1"/>
  <c r="N255" i="8" s="1"/>
  <c r="O255" i="8" s="1"/>
  <c r="P255" i="8" s="1"/>
  <c r="Q255" i="8" s="1"/>
  <c r="R255" i="8" s="1"/>
  <c r="S255" i="8" s="1"/>
  <c r="T255" i="8" s="1"/>
  <c r="U255" i="8" s="1"/>
  <c r="V255" i="8" s="1"/>
  <c r="W255" i="8" s="1"/>
  <c r="X255" i="8" s="1"/>
  <c r="Y255" i="8" s="1"/>
  <c r="Z255" i="8" s="1"/>
  <c r="AA255" i="8" s="1"/>
  <c r="AB255" i="8" s="1"/>
  <c r="AC255" i="8" s="1"/>
  <c r="AD255" i="8" s="1"/>
  <c r="AE255" i="8" s="1"/>
  <c r="AF255" i="8" s="1"/>
  <c r="AG255" i="8" s="1"/>
  <c r="AH255" i="8" s="1"/>
  <c r="AI255" i="8" s="1"/>
  <c r="AJ255" i="8" s="1"/>
  <c r="AK255" i="8" s="1"/>
  <c r="AL255" i="8" s="1"/>
  <c r="AM255" i="8" s="1"/>
  <c r="J211" i="8"/>
  <c r="J167" i="8"/>
  <c r="K167" i="8" s="1"/>
  <c r="L167" i="8" s="1"/>
  <c r="M167" i="8" s="1"/>
  <c r="N167" i="8" s="1"/>
  <c r="O167" i="8" s="1"/>
  <c r="P167" i="8" s="1"/>
  <c r="Q167" i="8" s="1"/>
  <c r="R167" i="8" s="1"/>
  <c r="S167" i="8" s="1"/>
  <c r="T167" i="8" s="1"/>
  <c r="U167" i="8" s="1"/>
  <c r="V167" i="8" s="1"/>
  <c r="W167" i="8" s="1"/>
  <c r="X167" i="8" s="1"/>
  <c r="Y167" i="8" s="1"/>
  <c r="Z167" i="8" s="1"/>
  <c r="AA167" i="8" s="1"/>
  <c r="AB167" i="8" s="1"/>
  <c r="AC167" i="8" s="1"/>
  <c r="J123" i="8"/>
  <c r="K123" i="8" s="1"/>
  <c r="L123" i="8" s="1"/>
  <c r="M123" i="8" s="1"/>
  <c r="N123" i="8" s="1"/>
  <c r="O123" i="8" s="1"/>
  <c r="P123" i="8" s="1"/>
  <c r="Q123" i="8" s="1"/>
  <c r="R123" i="8" s="1"/>
  <c r="S123" i="8" s="1"/>
  <c r="T123" i="8" s="1"/>
  <c r="U123" i="8" s="1"/>
  <c r="V123" i="8" s="1"/>
  <c r="W123" i="8" s="1"/>
  <c r="X123" i="8" s="1"/>
  <c r="J79" i="8"/>
  <c r="K79" i="8" s="1"/>
  <c r="L79" i="8" s="1"/>
  <c r="M79" i="8" s="1"/>
  <c r="N79" i="8" s="1"/>
  <c r="O79" i="8" s="1"/>
  <c r="P79" i="8" s="1"/>
  <c r="Q79" i="8" s="1"/>
  <c r="R79" i="8" s="1"/>
  <c r="S79" i="8" s="1"/>
  <c r="T79" i="8" s="1"/>
  <c r="U79" i="8" s="1"/>
  <c r="V79" i="8" s="1"/>
  <c r="W79" i="8" s="1"/>
  <c r="X79" i="8" s="1"/>
  <c r="Y79" i="8" s="1"/>
  <c r="Z79" i="8" s="1"/>
  <c r="AA79" i="8" s="1"/>
  <c r="AB79" i="8" s="1"/>
  <c r="AC79" i="8" s="1"/>
  <c r="AD79" i="8" s="1"/>
  <c r="AE79" i="8" s="1"/>
  <c r="AF79" i="8" s="1"/>
  <c r="AG79" i="8" s="1"/>
  <c r="AH79" i="8" s="1"/>
  <c r="AI79" i="8" s="1"/>
  <c r="AJ79" i="8" s="1"/>
  <c r="AK79" i="8" s="1"/>
  <c r="AL79" i="8" s="1"/>
  <c r="AM79" i="8" s="1"/>
  <c r="AB273" i="8"/>
  <c r="AB185" i="8"/>
  <c r="AB162" i="8"/>
  <c r="AB141" i="8"/>
  <c r="AB163" i="8"/>
  <c r="AB119" i="8"/>
  <c r="AB126" i="8"/>
  <c r="AB121" i="8"/>
  <c r="AB164" i="8"/>
  <c r="AB117" i="8"/>
  <c r="AB161" i="8"/>
  <c r="AB120" i="8"/>
  <c r="AB229" i="8"/>
  <c r="AC229" i="8" s="1"/>
  <c r="AD229" i="8" s="1"/>
  <c r="AE229" i="8" s="1"/>
  <c r="AF229" i="8" s="1"/>
  <c r="AG229" i="8" s="1"/>
  <c r="AH229" i="8" s="1"/>
  <c r="AI229" i="8" s="1"/>
  <c r="AJ229" i="8" s="1"/>
  <c r="AK229" i="8" s="1"/>
  <c r="AL229" i="8" s="1"/>
  <c r="AM229" i="8" s="1"/>
  <c r="AB165" i="8"/>
  <c r="AB97" i="8"/>
  <c r="AC97" i="8" s="1"/>
  <c r="AD97" i="8" s="1"/>
  <c r="AE97" i="8" s="1"/>
  <c r="AF97" i="8" s="1"/>
  <c r="AG97" i="8" s="1"/>
  <c r="AH97" i="8" s="1"/>
  <c r="AI97" i="8" s="1"/>
  <c r="AJ97" i="8" s="1"/>
  <c r="AK97" i="8" s="1"/>
  <c r="AL97" i="8" s="1"/>
  <c r="AM97" i="8" s="1"/>
  <c r="AB118" i="8"/>
  <c r="AB125" i="8"/>
  <c r="AB124" i="8"/>
  <c r="AB85" i="8"/>
  <c r="AB123" i="8"/>
  <c r="AB122" i="8"/>
  <c r="R263" i="8"/>
  <c r="R219" i="8"/>
  <c r="R175" i="8"/>
  <c r="R131" i="8"/>
  <c r="S131" i="8" s="1"/>
  <c r="T131" i="8" s="1"/>
  <c r="U131" i="8" s="1"/>
  <c r="V131" i="8" s="1"/>
  <c r="W131" i="8" s="1"/>
  <c r="X131" i="8" s="1"/>
  <c r="Y131" i="8" s="1"/>
  <c r="Z131" i="8" s="1"/>
  <c r="AA131" i="8" s="1"/>
  <c r="AB131" i="8" s="1"/>
  <c r="AC131" i="8" s="1"/>
  <c r="AD131" i="8" s="1"/>
  <c r="AE131" i="8" s="1"/>
  <c r="AF131" i="8" s="1"/>
  <c r="R87" i="8"/>
  <c r="K256" i="8"/>
  <c r="L256" i="8" s="1"/>
  <c r="M256" i="8" s="1"/>
  <c r="N256" i="8" s="1"/>
  <c r="O256" i="8" s="1"/>
  <c r="P256" i="8" s="1"/>
  <c r="Q256" i="8" s="1"/>
  <c r="R256" i="8" s="1"/>
  <c r="S256" i="8" s="1"/>
  <c r="T256" i="8" s="1"/>
  <c r="U256" i="8" s="1"/>
  <c r="V256" i="8" s="1"/>
  <c r="W256" i="8" s="1"/>
  <c r="X256" i="8" s="1"/>
  <c r="Y256" i="8" s="1"/>
  <c r="Z256" i="8" s="1"/>
  <c r="AA256" i="8" s="1"/>
  <c r="AB256" i="8" s="1"/>
  <c r="AC256" i="8" s="1"/>
  <c r="AD256" i="8" s="1"/>
  <c r="AE256" i="8" s="1"/>
  <c r="AF256" i="8" s="1"/>
  <c r="AG256" i="8" s="1"/>
  <c r="AH256" i="8" s="1"/>
  <c r="AI256" i="8" s="1"/>
  <c r="AJ256" i="8" s="1"/>
  <c r="AK256" i="8" s="1"/>
  <c r="AL256" i="8" s="1"/>
  <c r="AM256" i="8" s="1"/>
  <c r="K212" i="8"/>
  <c r="K168" i="8"/>
  <c r="K80" i="8"/>
  <c r="K124" i="8"/>
  <c r="L124" i="8" s="1"/>
  <c r="M124" i="8" s="1"/>
  <c r="N124" i="8" s="1"/>
  <c r="O124" i="8" s="1"/>
  <c r="P124" i="8" s="1"/>
  <c r="Q124" i="8" s="1"/>
  <c r="R124" i="8" s="1"/>
  <c r="S124" i="8" s="1"/>
  <c r="T124" i="8" s="1"/>
  <c r="U124" i="8" s="1"/>
  <c r="V124" i="8" s="1"/>
  <c r="W124" i="8" s="1"/>
  <c r="X124" i="8" s="1"/>
  <c r="Y124" i="8" s="1"/>
  <c r="AM284" i="8"/>
  <c r="AO284" i="8" s="1"/>
  <c r="AP284" i="8" s="1"/>
  <c r="AM254" i="8"/>
  <c r="AM251" i="8"/>
  <c r="AM240" i="8"/>
  <c r="AO240" i="8" s="1"/>
  <c r="AP240" i="8" s="1"/>
  <c r="AM249" i="8"/>
  <c r="AM253" i="8"/>
  <c r="AM252" i="8"/>
  <c r="AM215" i="8"/>
  <c r="AM212" i="8"/>
  <c r="AM211" i="8"/>
  <c r="AM210" i="8"/>
  <c r="AM207" i="8"/>
  <c r="AM213" i="8"/>
  <c r="AM208" i="8"/>
  <c r="AM172" i="8"/>
  <c r="AM163" i="8"/>
  <c r="AM132" i="8"/>
  <c r="AM131" i="8"/>
  <c r="AM206" i="8"/>
  <c r="AM170" i="8"/>
  <c r="AM165" i="8"/>
  <c r="AM133" i="8"/>
  <c r="AM209" i="8"/>
  <c r="AM176" i="8"/>
  <c r="AM175" i="8"/>
  <c r="AM152" i="8"/>
  <c r="AO152" i="8" s="1"/>
  <c r="AP152" i="8" s="1"/>
  <c r="AM136" i="8"/>
  <c r="AM174" i="8"/>
  <c r="AM161" i="8"/>
  <c r="AM134" i="8"/>
  <c r="AM173" i="8"/>
  <c r="AM162" i="8"/>
  <c r="AM167" i="8"/>
  <c r="AM130" i="8"/>
  <c r="AM117" i="8"/>
  <c r="AM169" i="8"/>
  <c r="AM127" i="8"/>
  <c r="AM120" i="8"/>
  <c r="AM171" i="8"/>
  <c r="AM129" i="8"/>
  <c r="AM196" i="8"/>
  <c r="AO196" i="8" s="1"/>
  <c r="AP196" i="8" s="1"/>
  <c r="AM124" i="8"/>
  <c r="AM123" i="8"/>
  <c r="AM168" i="8"/>
  <c r="AM125" i="8"/>
  <c r="AM122" i="8"/>
  <c r="AM98" i="8"/>
  <c r="AM214" i="8"/>
  <c r="AM166" i="8"/>
  <c r="AM135" i="8"/>
  <c r="AM128" i="8"/>
  <c r="AM119" i="8"/>
  <c r="AM164" i="8"/>
  <c r="AM137" i="8"/>
  <c r="AM73" i="8"/>
  <c r="AM205" i="8"/>
  <c r="AM126" i="8"/>
  <c r="AM121" i="8"/>
  <c r="AM108" i="8"/>
  <c r="AO108" i="8" s="1"/>
  <c r="AP108" i="8" s="1"/>
  <c r="AM118" i="8"/>
  <c r="AM29" i="8"/>
  <c r="AK249" i="8"/>
  <c r="AK252" i="8"/>
  <c r="AK282" i="8"/>
  <c r="AL282" i="8" s="1"/>
  <c r="AM282" i="8" s="1"/>
  <c r="AK251" i="8"/>
  <c r="AK209" i="8"/>
  <c r="AK208" i="8"/>
  <c r="AK238" i="8"/>
  <c r="AL238" i="8" s="1"/>
  <c r="AM238" i="8" s="1"/>
  <c r="AK206" i="8"/>
  <c r="AK212" i="8"/>
  <c r="AK210" i="8"/>
  <c r="AK207" i="8"/>
  <c r="AK168" i="8"/>
  <c r="AK167" i="8"/>
  <c r="AK135" i="8"/>
  <c r="AK169" i="8"/>
  <c r="AK166" i="8"/>
  <c r="AK211" i="8"/>
  <c r="AK172" i="8"/>
  <c r="AK163" i="8"/>
  <c r="AK132" i="8"/>
  <c r="AK131" i="8"/>
  <c r="AK170" i="8"/>
  <c r="AK165" i="8"/>
  <c r="AK133" i="8"/>
  <c r="AK205" i="8"/>
  <c r="AK194" i="8"/>
  <c r="AL194" i="8" s="1"/>
  <c r="AM194" i="8" s="1"/>
  <c r="AK174" i="8"/>
  <c r="AK161" i="8"/>
  <c r="AK150" i="8"/>
  <c r="AL150" i="8" s="1"/>
  <c r="AM150" i="8" s="1"/>
  <c r="AK134" i="8"/>
  <c r="AK213" i="8"/>
  <c r="AK126" i="8"/>
  <c r="AK121" i="8"/>
  <c r="AK130" i="8"/>
  <c r="AK171" i="8"/>
  <c r="AK162" i="8"/>
  <c r="AK127" i="8"/>
  <c r="AK120" i="8"/>
  <c r="AK129" i="8"/>
  <c r="AK118" i="8"/>
  <c r="AK124" i="8"/>
  <c r="AK123" i="8"/>
  <c r="AK164" i="8"/>
  <c r="AK117" i="8"/>
  <c r="AK106" i="8"/>
  <c r="AL106" i="8" s="1"/>
  <c r="AM106" i="8" s="1"/>
  <c r="AK125" i="8"/>
  <c r="AK122" i="8"/>
  <c r="AK173" i="8"/>
  <c r="AK128" i="8"/>
  <c r="AK119" i="8"/>
  <c r="AE276" i="8"/>
  <c r="AF276" i="8" s="1"/>
  <c r="AG276" i="8" s="1"/>
  <c r="AH276" i="8" s="1"/>
  <c r="AI276" i="8" s="1"/>
  <c r="AJ276" i="8" s="1"/>
  <c r="AK276" i="8" s="1"/>
  <c r="AL276" i="8" s="1"/>
  <c r="AM276" i="8" s="1"/>
  <c r="AE232" i="8"/>
  <c r="AE207" i="8"/>
  <c r="AE205" i="8"/>
  <c r="AE163" i="8"/>
  <c r="AE165" i="8"/>
  <c r="AE188" i="8"/>
  <c r="AF188" i="8" s="1"/>
  <c r="AG188" i="8" s="1"/>
  <c r="AH188" i="8" s="1"/>
  <c r="AI188" i="8" s="1"/>
  <c r="AJ188" i="8" s="1"/>
  <c r="AK188" i="8" s="1"/>
  <c r="AL188" i="8" s="1"/>
  <c r="AM188" i="8" s="1"/>
  <c r="AE161" i="8"/>
  <c r="AE206" i="8"/>
  <c r="AE162" i="8"/>
  <c r="AE166" i="8"/>
  <c r="AE117" i="8"/>
  <c r="AE164" i="8"/>
  <c r="AE127" i="8"/>
  <c r="AE120" i="8"/>
  <c r="AE144" i="8"/>
  <c r="AE129" i="8"/>
  <c r="AE167" i="8"/>
  <c r="AE124" i="8"/>
  <c r="AE123" i="8"/>
  <c r="AE100" i="8"/>
  <c r="AF100" i="8" s="1"/>
  <c r="AG100" i="8" s="1"/>
  <c r="AH100" i="8" s="1"/>
  <c r="AI100" i="8" s="1"/>
  <c r="AJ100" i="8" s="1"/>
  <c r="AK100" i="8" s="1"/>
  <c r="AL100" i="8" s="1"/>
  <c r="AM100" i="8" s="1"/>
  <c r="AE125" i="8"/>
  <c r="AE122" i="8"/>
  <c r="AE128" i="8"/>
  <c r="AE119" i="8"/>
  <c r="AE118" i="8"/>
  <c r="AE168" i="8"/>
  <c r="AE121" i="8"/>
  <c r="AE126" i="8"/>
  <c r="AG20" i="2" l="1"/>
  <c r="AG32" i="2" s="1"/>
  <c r="AE4" i="46"/>
  <c r="AE17" i="46" s="1"/>
  <c r="AE33" i="2"/>
  <c r="AC7" i="46"/>
  <c r="AC20" i="46" s="1"/>
  <c r="AF33" i="2"/>
  <c r="AD7" i="46"/>
  <c r="AD20" i="46" s="1"/>
  <c r="AF21" i="2"/>
  <c r="AD5" i="46"/>
  <c r="AD18" i="46" s="1"/>
  <c r="AM52" i="6"/>
  <c r="AM27" i="2" s="1"/>
  <c r="AM28" i="2" s="1"/>
  <c r="AM76" i="6"/>
  <c r="AH12" i="2"/>
  <c r="AH10" i="2"/>
  <c r="AO238" i="8"/>
  <c r="AP238" i="8" s="1"/>
  <c r="AO236" i="8"/>
  <c r="AP236" i="8" s="1"/>
  <c r="E116" i="8"/>
  <c r="E204" i="8"/>
  <c r="AO239" i="8"/>
  <c r="AP239" i="8" s="1"/>
  <c r="AO150" i="8"/>
  <c r="AP150" i="8" s="1"/>
  <c r="AO192" i="8"/>
  <c r="AP192" i="8" s="1"/>
  <c r="AO106" i="8"/>
  <c r="AP106" i="8" s="1"/>
  <c r="AO148" i="8"/>
  <c r="AP148" i="8" s="1"/>
  <c r="AO104" i="8"/>
  <c r="AP104" i="8" s="1"/>
  <c r="F205" i="8"/>
  <c r="G205" i="8" s="1"/>
  <c r="AO147" i="8"/>
  <c r="AP147" i="8" s="1"/>
  <c r="AO146" i="8"/>
  <c r="AP146" i="8" s="1"/>
  <c r="AF232" i="8"/>
  <c r="AG232" i="8" s="1"/>
  <c r="AH232" i="8" s="1"/>
  <c r="AI232" i="8" s="1"/>
  <c r="AJ232" i="8" s="1"/>
  <c r="AK232" i="8" s="1"/>
  <c r="AL232" i="8" s="1"/>
  <c r="AM232" i="8" s="1"/>
  <c r="F248" i="8"/>
  <c r="G249" i="8"/>
  <c r="H76" i="8"/>
  <c r="I76" i="8" s="1"/>
  <c r="J76" i="8" s="1"/>
  <c r="K76" i="8" s="1"/>
  <c r="L76" i="8" s="1"/>
  <c r="M76" i="8" s="1"/>
  <c r="N76" i="8" s="1"/>
  <c r="O76" i="8" s="1"/>
  <c r="P76" i="8" s="1"/>
  <c r="Q76" i="8" s="1"/>
  <c r="R76" i="8" s="1"/>
  <c r="S76" i="8" s="1"/>
  <c r="T76" i="8" s="1"/>
  <c r="U76" i="8" s="1"/>
  <c r="V76" i="8" s="1"/>
  <c r="W76" i="8" s="1"/>
  <c r="X76" i="8" s="1"/>
  <c r="Y76" i="8" s="1"/>
  <c r="Z76" i="8" s="1"/>
  <c r="AA76" i="8" s="1"/>
  <c r="AB76" i="8" s="1"/>
  <c r="AC76" i="8" s="1"/>
  <c r="AD76" i="8" s="1"/>
  <c r="AE76" i="8" s="1"/>
  <c r="AF76" i="8" s="1"/>
  <c r="AG76" i="8" s="1"/>
  <c r="AH76" i="8" s="1"/>
  <c r="AI76" i="8" s="1"/>
  <c r="AJ76" i="8" s="1"/>
  <c r="AK76" i="8" s="1"/>
  <c r="AL76" i="8" s="1"/>
  <c r="AM76" i="8" s="1"/>
  <c r="S263" i="8"/>
  <c r="T263" i="8" s="1"/>
  <c r="U263" i="8" s="1"/>
  <c r="V263" i="8" s="1"/>
  <c r="W263" i="8" s="1"/>
  <c r="X263" i="8" s="1"/>
  <c r="Y263" i="8" s="1"/>
  <c r="Z263" i="8" s="1"/>
  <c r="AA263" i="8" s="1"/>
  <c r="AB263" i="8" s="1"/>
  <c r="AC263" i="8" s="1"/>
  <c r="AD263" i="8" s="1"/>
  <c r="AE263" i="8" s="1"/>
  <c r="AF263" i="8" s="1"/>
  <c r="AG263" i="8" s="1"/>
  <c r="AH263" i="8" s="1"/>
  <c r="AI263" i="8" s="1"/>
  <c r="AJ263" i="8" s="1"/>
  <c r="AK263" i="8" s="1"/>
  <c r="AL263" i="8" s="1"/>
  <c r="AM263" i="8" s="1"/>
  <c r="J122" i="8"/>
  <c r="K122" i="8" s="1"/>
  <c r="L122" i="8" s="1"/>
  <c r="M122" i="8" s="1"/>
  <c r="N122" i="8" s="1"/>
  <c r="O122" i="8" s="1"/>
  <c r="P122" i="8" s="1"/>
  <c r="Q122" i="8" s="1"/>
  <c r="R122" i="8" s="1"/>
  <c r="S122" i="8" s="1"/>
  <c r="T122" i="8" s="1"/>
  <c r="U122" i="8" s="1"/>
  <c r="V122" i="8" s="1"/>
  <c r="W122" i="8" s="1"/>
  <c r="AO280" i="8"/>
  <c r="AP280" i="8" s="1"/>
  <c r="AO103" i="8"/>
  <c r="AP103" i="8" s="1"/>
  <c r="AB184" i="8"/>
  <c r="AC184" i="8" s="1"/>
  <c r="AD184" i="8" s="1"/>
  <c r="AE184" i="8" s="1"/>
  <c r="AF184" i="8" s="1"/>
  <c r="AG184" i="8" s="1"/>
  <c r="AH184" i="8" s="1"/>
  <c r="AI184" i="8" s="1"/>
  <c r="AJ184" i="8" s="1"/>
  <c r="AK184" i="8" s="1"/>
  <c r="AL184" i="8" s="1"/>
  <c r="AM184" i="8" s="1"/>
  <c r="AO94" i="8"/>
  <c r="AP94" i="8" s="1"/>
  <c r="AO279" i="8"/>
  <c r="AP279" i="8" s="1"/>
  <c r="AO166" i="8"/>
  <c r="AP166" i="8" s="1"/>
  <c r="AO210" i="8"/>
  <c r="AP210" i="8" s="1"/>
  <c r="G73" i="8"/>
  <c r="AO195" i="8"/>
  <c r="AP195" i="8" s="1"/>
  <c r="AO180" i="8"/>
  <c r="AP180" i="8" s="1"/>
  <c r="AO218" i="8"/>
  <c r="AP218" i="8" s="1"/>
  <c r="L80" i="8"/>
  <c r="M80" i="8" s="1"/>
  <c r="N80" i="8" s="1"/>
  <c r="O80" i="8" s="1"/>
  <c r="P80" i="8" s="1"/>
  <c r="Q80" i="8" s="1"/>
  <c r="R80" i="8" s="1"/>
  <c r="S80" i="8" s="1"/>
  <c r="T80" i="8" s="1"/>
  <c r="U80" i="8" s="1"/>
  <c r="V80" i="8" s="1"/>
  <c r="W80" i="8" s="1"/>
  <c r="X80" i="8" s="1"/>
  <c r="Y80" i="8" s="1"/>
  <c r="Z80" i="8" s="1"/>
  <c r="AA80" i="8" s="1"/>
  <c r="AB80" i="8" s="1"/>
  <c r="AC80" i="8" s="1"/>
  <c r="AD80" i="8" s="1"/>
  <c r="AE80" i="8" s="1"/>
  <c r="AF80" i="8" s="1"/>
  <c r="AG80" i="8" s="1"/>
  <c r="AH80" i="8" s="1"/>
  <c r="AI80" i="8" s="1"/>
  <c r="AJ80" i="8" s="1"/>
  <c r="AK80" i="8" s="1"/>
  <c r="AL80" i="8" s="1"/>
  <c r="AM80" i="8" s="1"/>
  <c r="L212" i="8"/>
  <c r="M212" i="8" s="1"/>
  <c r="N212" i="8" s="1"/>
  <c r="O212" i="8" s="1"/>
  <c r="P212" i="8" s="1"/>
  <c r="Q212" i="8" s="1"/>
  <c r="R212" i="8" s="1"/>
  <c r="S212" i="8" s="1"/>
  <c r="T212" i="8" s="1"/>
  <c r="U212" i="8" s="1"/>
  <c r="V212" i="8" s="1"/>
  <c r="W212" i="8" s="1"/>
  <c r="X212" i="8" s="1"/>
  <c r="Y212" i="8" s="1"/>
  <c r="Z212" i="8" s="1"/>
  <c r="AA212" i="8" s="1"/>
  <c r="AB212" i="8" s="1"/>
  <c r="AC212" i="8" s="1"/>
  <c r="AD212" i="8" s="1"/>
  <c r="AE212" i="8" s="1"/>
  <c r="AF212" i="8" s="1"/>
  <c r="AG212" i="8" s="1"/>
  <c r="AH212" i="8" s="1"/>
  <c r="AI212" i="8" s="1"/>
  <c r="AO95" i="8"/>
  <c r="AP95" i="8" s="1"/>
  <c r="AO105" i="8"/>
  <c r="AP105" i="8" s="1"/>
  <c r="D72" i="8"/>
  <c r="F162" i="8"/>
  <c r="G162" i="8" s="1"/>
  <c r="H162" i="8" s="1"/>
  <c r="I162" i="8" s="1"/>
  <c r="J162" i="8" s="1"/>
  <c r="K162" i="8" s="1"/>
  <c r="L162" i="8" s="1"/>
  <c r="M162" i="8" s="1"/>
  <c r="N162" i="8" s="1"/>
  <c r="O162" i="8" s="1"/>
  <c r="P162" i="8" s="1"/>
  <c r="Q162" i="8" s="1"/>
  <c r="R162" i="8" s="1"/>
  <c r="S162" i="8" s="1"/>
  <c r="T162" i="8" s="1"/>
  <c r="U162" i="8" s="1"/>
  <c r="V162" i="8" s="1"/>
  <c r="W162" i="8" s="1"/>
  <c r="X162" i="8" s="1"/>
  <c r="AO190" i="8"/>
  <c r="AP190" i="8" s="1"/>
  <c r="AO278" i="8"/>
  <c r="AP278" i="8" s="1"/>
  <c r="AO209" i="8"/>
  <c r="AP209" i="8" s="1"/>
  <c r="AO182" i="8"/>
  <c r="AP182" i="8" s="1"/>
  <c r="AO268" i="8"/>
  <c r="AP268" i="8" s="1"/>
  <c r="AO169" i="8"/>
  <c r="AP169" i="8" s="1"/>
  <c r="AO194" i="8"/>
  <c r="AP194" i="8" s="1"/>
  <c r="AO255" i="8"/>
  <c r="AP255" i="8" s="1"/>
  <c r="AO235" i="8"/>
  <c r="AP235" i="8" s="1"/>
  <c r="G207" i="8"/>
  <c r="H207" i="8" s="1"/>
  <c r="I207" i="8" s="1"/>
  <c r="J207" i="8" s="1"/>
  <c r="K207" i="8" s="1"/>
  <c r="L207" i="8" s="1"/>
  <c r="M207" i="8" s="1"/>
  <c r="N207" i="8" s="1"/>
  <c r="O207" i="8" s="1"/>
  <c r="P207" i="8" s="1"/>
  <c r="Q207" i="8" s="1"/>
  <c r="R207" i="8" s="1"/>
  <c r="S207" i="8" s="1"/>
  <c r="T207" i="8" s="1"/>
  <c r="U207" i="8" s="1"/>
  <c r="V207" i="8" s="1"/>
  <c r="W207" i="8" s="1"/>
  <c r="X207" i="8" s="1"/>
  <c r="Y207" i="8" s="1"/>
  <c r="Z207" i="8" s="1"/>
  <c r="AA207" i="8" s="1"/>
  <c r="AB207" i="8" s="1"/>
  <c r="AC207" i="8" s="1"/>
  <c r="AD207" i="8" s="1"/>
  <c r="AO107" i="8"/>
  <c r="AP107" i="8" s="1"/>
  <c r="AO136" i="8"/>
  <c r="AP136" i="8" s="1"/>
  <c r="AO130" i="8"/>
  <c r="AP130" i="8" s="1"/>
  <c r="E160" i="8"/>
  <c r="AO213" i="8"/>
  <c r="AP213" i="8" s="1"/>
  <c r="T220" i="8"/>
  <c r="U220" i="8" s="1"/>
  <c r="V220" i="8" s="1"/>
  <c r="W220" i="8" s="1"/>
  <c r="X220" i="8" s="1"/>
  <c r="Y220" i="8" s="1"/>
  <c r="Z220" i="8" s="1"/>
  <c r="AA220" i="8" s="1"/>
  <c r="AB220" i="8" s="1"/>
  <c r="AC220" i="8" s="1"/>
  <c r="AD220" i="8" s="1"/>
  <c r="AE220" i="8" s="1"/>
  <c r="AF220" i="8" s="1"/>
  <c r="AG220" i="8" s="1"/>
  <c r="AH220" i="8" s="1"/>
  <c r="AI220" i="8" s="1"/>
  <c r="AJ220" i="8" s="1"/>
  <c r="AK220" i="8" s="1"/>
  <c r="AL220" i="8" s="1"/>
  <c r="AM220" i="8" s="1"/>
  <c r="D160" i="8"/>
  <c r="AO143" i="8"/>
  <c r="AP143" i="8" s="1"/>
  <c r="AO187" i="8"/>
  <c r="AP187" i="8" s="1"/>
  <c r="F161" i="8"/>
  <c r="AO251" i="8"/>
  <c r="AP251" i="8" s="1"/>
  <c r="AO217" i="8"/>
  <c r="AP217" i="8" s="1"/>
  <c r="AO91" i="8"/>
  <c r="AP91" i="8" s="1"/>
  <c r="AO98" i="8"/>
  <c r="AP98" i="8" s="1"/>
  <c r="AO84" i="8"/>
  <c r="AP84" i="8" s="1"/>
  <c r="AO128" i="8"/>
  <c r="AP128" i="8" s="1"/>
  <c r="AO260" i="8"/>
  <c r="AP260" i="8" s="1"/>
  <c r="AO214" i="8"/>
  <c r="AP214" i="8" s="1"/>
  <c r="AO277" i="8"/>
  <c r="AP277" i="8" s="1"/>
  <c r="AO173" i="8"/>
  <c r="AP173" i="8" s="1"/>
  <c r="AO171" i="8"/>
  <c r="AP171" i="8" s="1"/>
  <c r="AA227" i="8"/>
  <c r="AB227" i="8" s="1"/>
  <c r="AC227" i="8" s="1"/>
  <c r="AD227" i="8" s="1"/>
  <c r="AE227" i="8" s="1"/>
  <c r="AF227" i="8" s="1"/>
  <c r="AG227" i="8" s="1"/>
  <c r="AH227" i="8" s="1"/>
  <c r="AI227" i="8" s="1"/>
  <c r="AJ227" i="8" s="1"/>
  <c r="AK227" i="8" s="1"/>
  <c r="AL227" i="8" s="1"/>
  <c r="AM227" i="8" s="1"/>
  <c r="AO86" i="8"/>
  <c r="AP86" i="8" s="1"/>
  <c r="AO257" i="8"/>
  <c r="AP257" i="8" s="1"/>
  <c r="AO271" i="8"/>
  <c r="AP271" i="8" s="1"/>
  <c r="AO133" i="8"/>
  <c r="AP133" i="8" s="1"/>
  <c r="AO265" i="8"/>
  <c r="AP265" i="8" s="1"/>
  <c r="AO149" i="8"/>
  <c r="AP149" i="8" s="1"/>
  <c r="AO237" i="8"/>
  <c r="AP237" i="8" s="1"/>
  <c r="D204" i="8"/>
  <c r="AO99" i="8"/>
  <c r="AP99" i="8" s="1"/>
  <c r="AO275" i="8"/>
  <c r="AP275" i="8" s="1"/>
  <c r="AO134" i="8"/>
  <c r="AP134" i="8" s="1"/>
  <c r="F118" i="8"/>
  <c r="G118" i="8" s="1"/>
  <c r="H118" i="8" s="1"/>
  <c r="I118" i="8" s="1"/>
  <c r="J118" i="8" s="1"/>
  <c r="K118" i="8" s="1"/>
  <c r="L118" i="8" s="1"/>
  <c r="M118" i="8" s="1"/>
  <c r="N118" i="8" s="1"/>
  <c r="O118" i="8" s="1"/>
  <c r="P118" i="8" s="1"/>
  <c r="Q118" i="8" s="1"/>
  <c r="R118" i="8" s="1"/>
  <c r="S118" i="8" s="1"/>
  <c r="AO85" i="8"/>
  <c r="AP85" i="8" s="1"/>
  <c r="V266" i="8"/>
  <c r="W266" i="8" s="1"/>
  <c r="X266" i="8" s="1"/>
  <c r="Y266" i="8" s="1"/>
  <c r="Z266" i="8" s="1"/>
  <c r="AA266" i="8" s="1"/>
  <c r="AB266" i="8" s="1"/>
  <c r="AC266" i="8" s="1"/>
  <c r="AD266" i="8" s="1"/>
  <c r="AE266" i="8" s="1"/>
  <c r="AF266" i="8" s="1"/>
  <c r="AG266" i="8" s="1"/>
  <c r="AH266" i="8" s="1"/>
  <c r="AI266" i="8" s="1"/>
  <c r="AJ266" i="8" s="1"/>
  <c r="AK266" i="8" s="1"/>
  <c r="AL266" i="8" s="1"/>
  <c r="AM266" i="8" s="1"/>
  <c r="AO186" i="8"/>
  <c r="AP186" i="8" s="1"/>
  <c r="AO274" i="8"/>
  <c r="AP274" i="8" s="1"/>
  <c r="O127" i="8"/>
  <c r="P127" i="8" s="1"/>
  <c r="Q127" i="8" s="1"/>
  <c r="R127" i="8" s="1"/>
  <c r="S127" i="8" s="1"/>
  <c r="T127" i="8" s="1"/>
  <c r="U127" i="8" s="1"/>
  <c r="V127" i="8" s="1"/>
  <c r="W127" i="8" s="1"/>
  <c r="X127" i="8" s="1"/>
  <c r="Y127" i="8" s="1"/>
  <c r="Z127" i="8" s="1"/>
  <c r="AA127" i="8" s="1"/>
  <c r="AB127" i="8" s="1"/>
  <c r="AO216" i="8"/>
  <c r="AP216" i="8" s="1"/>
  <c r="O259" i="8"/>
  <c r="P259" i="8" s="1"/>
  <c r="Q259" i="8" s="1"/>
  <c r="R259" i="8" s="1"/>
  <c r="S259" i="8" s="1"/>
  <c r="T259" i="8" s="1"/>
  <c r="U259" i="8" s="1"/>
  <c r="V259" i="8" s="1"/>
  <c r="W259" i="8" s="1"/>
  <c r="X259" i="8" s="1"/>
  <c r="Y259" i="8" s="1"/>
  <c r="Z259" i="8" s="1"/>
  <c r="AA259" i="8" s="1"/>
  <c r="AB259" i="8" s="1"/>
  <c r="AC259" i="8" s="1"/>
  <c r="AD259" i="8" s="1"/>
  <c r="AE259" i="8" s="1"/>
  <c r="AF259" i="8" s="1"/>
  <c r="AG259" i="8" s="1"/>
  <c r="AH259" i="8" s="1"/>
  <c r="AI259" i="8" s="1"/>
  <c r="AJ259" i="8" s="1"/>
  <c r="AK259" i="8" s="1"/>
  <c r="AL259" i="8" s="1"/>
  <c r="AM259" i="8" s="1"/>
  <c r="AG145" i="8"/>
  <c r="H208" i="8"/>
  <c r="I208" i="8" s="1"/>
  <c r="J208" i="8" s="1"/>
  <c r="K208" i="8" s="1"/>
  <c r="L208" i="8" s="1"/>
  <c r="M208" i="8" s="1"/>
  <c r="N208" i="8" s="1"/>
  <c r="O208" i="8" s="1"/>
  <c r="P208" i="8" s="1"/>
  <c r="Q208" i="8" s="1"/>
  <c r="R208" i="8" s="1"/>
  <c r="S208" i="8" s="1"/>
  <c r="T208" i="8" s="1"/>
  <c r="U208" i="8" s="1"/>
  <c r="V208" i="8" s="1"/>
  <c r="W208" i="8" s="1"/>
  <c r="X208" i="8" s="1"/>
  <c r="Y208" i="8" s="1"/>
  <c r="Z208" i="8" s="1"/>
  <c r="AA208" i="8" s="1"/>
  <c r="AB208" i="8" s="1"/>
  <c r="AC208" i="8" s="1"/>
  <c r="AD208" i="8" s="1"/>
  <c r="AE208" i="8" s="1"/>
  <c r="AO170" i="8"/>
  <c r="AP170" i="8" s="1"/>
  <c r="AO270" i="8"/>
  <c r="AP270" i="8" s="1"/>
  <c r="AO176" i="8"/>
  <c r="AP176" i="8" s="1"/>
  <c r="AO231" i="8"/>
  <c r="AP231" i="8" s="1"/>
  <c r="AO234" i="8"/>
  <c r="AP234" i="8" s="1"/>
  <c r="AO100" i="8"/>
  <c r="AP100" i="8" s="1"/>
  <c r="AO131" i="8"/>
  <c r="AP131" i="8" s="1"/>
  <c r="AO140" i="8"/>
  <c r="AP140" i="8" s="1"/>
  <c r="AO191" i="8"/>
  <c r="AP191" i="8" s="1"/>
  <c r="I165" i="8"/>
  <c r="J165" i="8" s="1"/>
  <c r="K165" i="8" s="1"/>
  <c r="L165" i="8" s="1"/>
  <c r="M165" i="8" s="1"/>
  <c r="N165" i="8" s="1"/>
  <c r="O165" i="8" s="1"/>
  <c r="P165" i="8" s="1"/>
  <c r="Q165" i="8" s="1"/>
  <c r="R165" i="8" s="1"/>
  <c r="S165" i="8" s="1"/>
  <c r="T165" i="8" s="1"/>
  <c r="U165" i="8" s="1"/>
  <c r="V165" i="8" s="1"/>
  <c r="W165" i="8" s="1"/>
  <c r="X165" i="8" s="1"/>
  <c r="Y165" i="8" s="1"/>
  <c r="Z165" i="8" s="1"/>
  <c r="AA165" i="8" s="1"/>
  <c r="AO120" i="8"/>
  <c r="AP120" i="8" s="1"/>
  <c r="AO151" i="8"/>
  <c r="AP151" i="8" s="1"/>
  <c r="AO283" i="8"/>
  <c r="AP283" i="8" s="1"/>
  <c r="W179" i="8"/>
  <c r="X179" i="8" s="1"/>
  <c r="Y179" i="8" s="1"/>
  <c r="Z179" i="8" s="1"/>
  <c r="AA179" i="8" s="1"/>
  <c r="AB179" i="8" s="1"/>
  <c r="AC179" i="8" s="1"/>
  <c r="AD179" i="8" s="1"/>
  <c r="AE179" i="8" s="1"/>
  <c r="AF179" i="8" s="1"/>
  <c r="AG179" i="8" s="1"/>
  <c r="AH179" i="8" s="1"/>
  <c r="AI179" i="8" s="1"/>
  <c r="AJ179" i="8" s="1"/>
  <c r="AK179" i="8" s="1"/>
  <c r="AL179" i="8" s="1"/>
  <c r="AM179" i="8" s="1"/>
  <c r="AO83" i="8"/>
  <c r="AP83" i="8" s="1"/>
  <c r="AO174" i="8"/>
  <c r="AP174" i="8" s="1"/>
  <c r="AO262" i="8"/>
  <c r="AP262" i="8" s="1"/>
  <c r="L168" i="8"/>
  <c r="M168" i="8" s="1"/>
  <c r="N168" i="8" s="1"/>
  <c r="O168" i="8" s="1"/>
  <c r="P168" i="8" s="1"/>
  <c r="Q168" i="8" s="1"/>
  <c r="R168" i="8" s="1"/>
  <c r="S168" i="8" s="1"/>
  <c r="T168" i="8" s="1"/>
  <c r="U168" i="8" s="1"/>
  <c r="V168" i="8" s="1"/>
  <c r="W168" i="8" s="1"/>
  <c r="X168" i="8" s="1"/>
  <c r="Y168" i="8" s="1"/>
  <c r="Z168" i="8" s="1"/>
  <c r="AA168" i="8" s="1"/>
  <c r="AB168" i="8" s="1"/>
  <c r="AC168" i="8" s="1"/>
  <c r="AD168" i="8" s="1"/>
  <c r="S87" i="8"/>
  <c r="T87" i="8" s="1"/>
  <c r="U87" i="8" s="1"/>
  <c r="V87" i="8" s="1"/>
  <c r="W87" i="8" s="1"/>
  <c r="X87" i="8" s="1"/>
  <c r="Y87" i="8" s="1"/>
  <c r="Z87" i="8" s="1"/>
  <c r="AA87" i="8" s="1"/>
  <c r="AB87" i="8" s="1"/>
  <c r="AC87" i="8" s="1"/>
  <c r="AD87" i="8" s="1"/>
  <c r="AE87" i="8" s="1"/>
  <c r="AF87" i="8" s="1"/>
  <c r="AG87" i="8" s="1"/>
  <c r="AH87" i="8" s="1"/>
  <c r="AI87" i="8" s="1"/>
  <c r="AJ87" i="8" s="1"/>
  <c r="AK87" i="8" s="1"/>
  <c r="AL87" i="8" s="1"/>
  <c r="AM87" i="8" s="1"/>
  <c r="Z226" i="8"/>
  <c r="AA226" i="8" s="1"/>
  <c r="AB226" i="8" s="1"/>
  <c r="AC226" i="8" s="1"/>
  <c r="AD226" i="8" s="1"/>
  <c r="AE226" i="8" s="1"/>
  <c r="AF226" i="8" s="1"/>
  <c r="AG226" i="8" s="1"/>
  <c r="AH226" i="8" s="1"/>
  <c r="AI226" i="8" s="1"/>
  <c r="AJ226" i="8" s="1"/>
  <c r="AK226" i="8" s="1"/>
  <c r="AL226" i="8" s="1"/>
  <c r="AM226" i="8" s="1"/>
  <c r="T132" i="8"/>
  <c r="U132" i="8" s="1"/>
  <c r="V132" i="8" s="1"/>
  <c r="W132" i="8" s="1"/>
  <c r="X132" i="8" s="1"/>
  <c r="Y132" i="8" s="1"/>
  <c r="Z132" i="8" s="1"/>
  <c r="AA132" i="8" s="1"/>
  <c r="AB132" i="8" s="1"/>
  <c r="AC132" i="8" s="1"/>
  <c r="AD132" i="8" s="1"/>
  <c r="AE132" i="8" s="1"/>
  <c r="AF132" i="8" s="1"/>
  <c r="AG132" i="8" s="1"/>
  <c r="AO281" i="8"/>
  <c r="AP281" i="8" s="1"/>
  <c r="D116" i="8"/>
  <c r="AO222" i="8"/>
  <c r="AP222" i="8" s="1"/>
  <c r="AO75" i="8"/>
  <c r="AP75" i="8" s="1"/>
  <c r="F117" i="8"/>
  <c r="AO223" i="8"/>
  <c r="AP223" i="8" s="1"/>
  <c r="AO267" i="8"/>
  <c r="AP267" i="8" s="1"/>
  <c r="AO102" i="8"/>
  <c r="AP102" i="8" s="1"/>
  <c r="H164" i="8"/>
  <c r="I164" i="8" s="1"/>
  <c r="J164" i="8" s="1"/>
  <c r="K164" i="8" s="1"/>
  <c r="L164" i="8" s="1"/>
  <c r="M164" i="8" s="1"/>
  <c r="N164" i="8" s="1"/>
  <c r="O164" i="8" s="1"/>
  <c r="P164" i="8" s="1"/>
  <c r="Q164" i="8" s="1"/>
  <c r="R164" i="8" s="1"/>
  <c r="S164" i="8" s="1"/>
  <c r="T164" i="8" s="1"/>
  <c r="U164" i="8" s="1"/>
  <c r="V164" i="8" s="1"/>
  <c r="W164" i="8" s="1"/>
  <c r="X164" i="8" s="1"/>
  <c r="Y164" i="8" s="1"/>
  <c r="Z164" i="8" s="1"/>
  <c r="Y269" i="8"/>
  <c r="Z269" i="8" s="1"/>
  <c r="AA269" i="8" s="1"/>
  <c r="AB269" i="8" s="1"/>
  <c r="AC269" i="8" s="1"/>
  <c r="AD269" i="8" s="1"/>
  <c r="AE269" i="8" s="1"/>
  <c r="AF269" i="8" s="1"/>
  <c r="AG269" i="8" s="1"/>
  <c r="AH269" i="8" s="1"/>
  <c r="AI269" i="8" s="1"/>
  <c r="AJ269" i="8" s="1"/>
  <c r="AK269" i="8" s="1"/>
  <c r="AL269" i="8" s="1"/>
  <c r="AM269" i="8" s="1"/>
  <c r="AO101" i="8"/>
  <c r="AP101" i="8" s="1"/>
  <c r="AF144" i="8"/>
  <c r="AG144" i="8" s="1"/>
  <c r="AH144" i="8" s="1"/>
  <c r="AI144" i="8" s="1"/>
  <c r="AJ144" i="8" s="1"/>
  <c r="AK144" i="8" s="1"/>
  <c r="AL144" i="8" s="1"/>
  <c r="AM144" i="8" s="1"/>
  <c r="AO119" i="8"/>
  <c r="AP119" i="8" s="1"/>
  <c r="AO282" i="8"/>
  <c r="AP282" i="8" s="1"/>
  <c r="AO167" i="8"/>
  <c r="AP167" i="8" s="1"/>
  <c r="AO124" i="8"/>
  <c r="AP124" i="8" s="1"/>
  <c r="K211" i="8"/>
  <c r="L211" i="8" s="1"/>
  <c r="M211" i="8" s="1"/>
  <c r="N211" i="8" s="1"/>
  <c r="O211" i="8" s="1"/>
  <c r="P211" i="8" s="1"/>
  <c r="Q211" i="8" s="1"/>
  <c r="R211" i="8" s="1"/>
  <c r="S211" i="8" s="1"/>
  <c r="T211" i="8" s="1"/>
  <c r="U211" i="8" s="1"/>
  <c r="V211" i="8" s="1"/>
  <c r="W211" i="8" s="1"/>
  <c r="X211" i="8" s="1"/>
  <c r="Y211" i="8" s="1"/>
  <c r="Z211" i="8" s="1"/>
  <c r="AA211" i="8" s="1"/>
  <c r="AB211" i="8" s="1"/>
  <c r="AC211" i="8" s="1"/>
  <c r="AD211" i="8" s="1"/>
  <c r="AE211" i="8" s="1"/>
  <c r="AF211" i="8" s="1"/>
  <c r="AG211" i="8" s="1"/>
  <c r="AH211" i="8" s="1"/>
  <c r="AO256" i="8"/>
  <c r="AP256" i="8" s="1"/>
  <c r="J78" i="8"/>
  <c r="K78" i="8" s="1"/>
  <c r="L78" i="8" s="1"/>
  <c r="M78" i="8" s="1"/>
  <c r="N78" i="8" s="1"/>
  <c r="O78" i="8" s="1"/>
  <c r="P78" i="8" s="1"/>
  <c r="Q78" i="8" s="1"/>
  <c r="R78" i="8" s="1"/>
  <c r="S78" i="8" s="1"/>
  <c r="T78" i="8" s="1"/>
  <c r="U78" i="8" s="1"/>
  <c r="V78" i="8" s="1"/>
  <c r="W78" i="8" s="1"/>
  <c r="X78" i="8" s="1"/>
  <c r="Y78" i="8" s="1"/>
  <c r="Z78" i="8" s="1"/>
  <c r="AA78" i="8" s="1"/>
  <c r="AB78" i="8" s="1"/>
  <c r="AC78" i="8" s="1"/>
  <c r="AD78" i="8" s="1"/>
  <c r="AE78" i="8" s="1"/>
  <c r="AF78" i="8" s="1"/>
  <c r="AG78" i="8" s="1"/>
  <c r="AH78" i="8" s="1"/>
  <c r="AI78" i="8" s="1"/>
  <c r="AJ78" i="8" s="1"/>
  <c r="AK78" i="8" s="1"/>
  <c r="AL78" i="8" s="1"/>
  <c r="AM78" i="8" s="1"/>
  <c r="AO123" i="8"/>
  <c r="AP123" i="8" s="1"/>
  <c r="AO96" i="8"/>
  <c r="AP96" i="8" s="1"/>
  <c r="AO228" i="8"/>
  <c r="AP228" i="8" s="1"/>
  <c r="I77" i="8"/>
  <c r="J77" i="8" s="1"/>
  <c r="K77" i="8" s="1"/>
  <c r="L77" i="8" s="1"/>
  <c r="M77" i="8" s="1"/>
  <c r="N77" i="8" s="1"/>
  <c r="O77" i="8" s="1"/>
  <c r="P77" i="8" s="1"/>
  <c r="Q77" i="8" s="1"/>
  <c r="R77" i="8" s="1"/>
  <c r="S77" i="8" s="1"/>
  <c r="T77" i="8" s="1"/>
  <c r="U77" i="8" s="1"/>
  <c r="V77" i="8" s="1"/>
  <c r="W77" i="8" s="1"/>
  <c r="X77" i="8" s="1"/>
  <c r="Y77" i="8" s="1"/>
  <c r="Z77" i="8" s="1"/>
  <c r="AA77" i="8" s="1"/>
  <c r="AB77" i="8" s="1"/>
  <c r="AC77" i="8" s="1"/>
  <c r="AD77" i="8" s="1"/>
  <c r="AE77" i="8" s="1"/>
  <c r="AF77" i="8" s="1"/>
  <c r="AG77" i="8" s="1"/>
  <c r="AH77" i="8" s="1"/>
  <c r="AI77" i="8" s="1"/>
  <c r="AJ77" i="8" s="1"/>
  <c r="AK77" i="8" s="1"/>
  <c r="AL77" i="8" s="1"/>
  <c r="AM77" i="8" s="1"/>
  <c r="AO254" i="8"/>
  <c r="AP254" i="8" s="1"/>
  <c r="AO250" i="8"/>
  <c r="AP250" i="8" s="1"/>
  <c r="AO81" i="8"/>
  <c r="AP81" i="8" s="1"/>
  <c r="AO88" i="8"/>
  <c r="AP88" i="8" s="1"/>
  <c r="S175" i="8"/>
  <c r="T175" i="8" s="1"/>
  <c r="U175" i="8" s="1"/>
  <c r="V175" i="8" s="1"/>
  <c r="W175" i="8" s="1"/>
  <c r="X175" i="8" s="1"/>
  <c r="Y175" i="8" s="1"/>
  <c r="Z175" i="8" s="1"/>
  <c r="AA175" i="8" s="1"/>
  <c r="AB175" i="8" s="1"/>
  <c r="AC175" i="8" s="1"/>
  <c r="AD175" i="8" s="1"/>
  <c r="AE175" i="8" s="1"/>
  <c r="AF175" i="8" s="1"/>
  <c r="AG175" i="8" s="1"/>
  <c r="AH175" i="8" s="1"/>
  <c r="AI175" i="8" s="1"/>
  <c r="AJ175" i="8" s="1"/>
  <c r="AK175" i="8" s="1"/>
  <c r="D248" i="8"/>
  <c r="U89" i="8"/>
  <c r="V89" i="8" s="1"/>
  <c r="W89" i="8" s="1"/>
  <c r="X89" i="8" s="1"/>
  <c r="Y89" i="8" s="1"/>
  <c r="Z89" i="8" s="1"/>
  <c r="AA89" i="8" s="1"/>
  <c r="AB89" i="8" s="1"/>
  <c r="AC89" i="8" s="1"/>
  <c r="AD89" i="8" s="1"/>
  <c r="AE89" i="8" s="1"/>
  <c r="AF89" i="8" s="1"/>
  <c r="AG89" i="8" s="1"/>
  <c r="AH89" i="8" s="1"/>
  <c r="AI89" i="8" s="1"/>
  <c r="AJ89" i="8" s="1"/>
  <c r="AK89" i="8" s="1"/>
  <c r="AL89" i="8" s="1"/>
  <c r="AM89" i="8" s="1"/>
  <c r="U221" i="8"/>
  <c r="V221" i="8" s="1"/>
  <c r="W221" i="8" s="1"/>
  <c r="X221" i="8" s="1"/>
  <c r="Y221" i="8" s="1"/>
  <c r="Z221" i="8" s="1"/>
  <c r="AA221" i="8" s="1"/>
  <c r="AB221" i="8" s="1"/>
  <c r="AC221" i="8" s="1"/>
  <c r="AD221" i="8" s="1"/>
  <c r="AE221" i="8" s="1"/>
  <c r="AF221" i="8" s="1"/>
  <c r="AG221" i="8" s="1"/>
  <c r="AH221" i="8" s="1"/>
  <c r="AI221" i="8" s="1"/>
  <c r="AJ221" i="8" s="1"/>
  <c r="AK221" i="8" s="1"/>
  <c r="AL221" i="8" s="1"/>
  <c r="AM221" i="8" s="1"/>
  <c r="F206" i="8"/>
  <c r="G206" i="8" s="1"/>
  <c r="H206" i="8" s="1"/>
  <c r="I206" i="8" s="1"/>
  <c r="J206" i="8" s="1"/>
  <c r="K206" i="8" s="1"/>
  <c r="L206" i="8" s="1"/>
  <c r="M206" i="8" s="1"/>
  <c r="N206" i="8" s="1"/>
  <c r="O206" i="8" s="1"/>
  <c r="P206" i="8" s="1"/>
  <c r="Q206" i="8" s="1"/>
  <c r="R206" i="8" s="1"/>
  <c r="S206" i="8" s="1"/>
  <c r="T206" i="8" s="1"/>
  <c r="U206" i="8" s="1"/>
  <c r="V206" i="8" s="1"/>
  <c r="W206" i="8" s="1"/>
  <c r="X206" i="8" s="1"/>
  <c r="Y206" i="8" s="1"/>
  <c r="Z206" i="8" s="1"/>
  <c r="AA206" i="8" s="1"/>
  <c r="AB206" i="8" s="1"/>
  <c r="AC206" i="8" s="1"/>
  <c r="AO261" i="8"/>
  <c r="AP261" i="8" s="1"/>
  <c r="V90" i="8"/>
  <c r="W90" i="8" s="1"/>
  <c r="X90" i="8" s="1"/>
  <c r="Y90" i="8" s="1"/>
  <c r="Z90" i="8" s="1"/>
  <c r="AA90" i="8" s="1"/>
  <c r="AB90" i="8" s="1"/>
  <c r="AC90" i="8" s="1"/>
  <c r="AD90" i="8" s="1"/>
  <c r="AE90" i="8" s="1"/>
  <c r="AF90" i="8" s="1"/>
  <c r="AG90" i="8" s="1"/>
  <c r="AH90" i="8" s="1"/>
  <c r="AI90" i="8" s="1"/>
  <c r="AJ90" i="8" s="1"/>
  <c r="AK90" i="8" s="1"/>
  <c r="AL90" i="8" s="1"/>
  <c r="AM90" i="8" s="1"/>
  <c r="AO135" i="8"/>
  <c r="AP135" i="8" s="1"/>
  <c r="AO230" i="8"/>
  <c r="AP230" i="8" s="1"/>
  <c r="AC273" i="8"/>
  <c r="AD273" i="8" s="1"/>
  <c r="AE273" i="8" s="1"/>
  <c r="AF273" i="8" s="1"/>
  <c r="AG273" i="8" s="1"/>
  <c r="AH273" i="8" s="1"/>
  <c r="AI273" i="8" s="1"/>
  <c r="AJ273" i="8" s="1"/>
  <c r="AK273" i="8" s="1"/>
  <c r="AL273" i="8" s="1"/>
  <c r="AM273" i="8" s="1"/>
  <c r="AO172" i="8"/>
  <c r="AP172" i="8" s="1"/>
  <c r="H252" i="8"/>
  <c r="I252" i="8" s="1"/>
  <c r="J252" i="8" s="1"/>
  <c r="K252" i="8" s="1"/>
  <c r="L252" i="8" s="1"/>
  <c r="M252" i="8" s="1"/>
  <c r="N252" i="8" s="1"/>
  <c r="O252" i="8" s="1"/>
  <c r="P252" i="8" s="1"/>
  <c r="Q252" i="8" s="1"/>
  <c r="R252" i="8" s="1"/>
  <c r="S252" i="8" s="1"/>
  <c r="T252" i="8" s="1"/>
  <c r="U252" i="8" s="1"/>
  <c r="V252" i="8" s="1"/>
  <c r="W252" i="8" s="1"/>
  <c r="X252" i="8" s="1"/>
  <c r="Y252" i="8" s="1"/>
  <c r="Z252" i="8" s="1"/>
  <c r="AA252" i="8" s="1"/>
  <c r="AB252" i="8" s="1"/>
  <c r="AC252" i="8" s="1"/>
  <c r="AD252" i="8" s="1"/>
  <c r="AE252" i="8" s="1"/>
  <c r="AF252" i="8" s="1"/>
  <c r="AG252" i="8" s="1"/>
  <c r="AH252" i="8" s="1"/>
  <c r="AI252" i="8" s="1"/>
  <c r="AJ252" i="8" s="1"/>
  <c r="AO258" i="8"/>
  <c r="AP258" i="8" s="1"/>
  <c r="Y181" i="8"/>
  <c r="Z181" i="8" s="1"/>
  <c r="AA181" i="8" s="1"/>
  <c r="AB181" i="8" s="1"/>
  <c r="AC181" i="8" s="1"/>
  <c r="AD181" i="8" s="1"/>
  <c r="AE181" i="8" s="1"/>
  <c r="AF181" i="8" s="1"/>
  <c r="AG181" i="8" s="1"/>
  <c r="AH181" i="8" s="1"/>
  <c r="AI181" i="8" s="1"/>
  <c r="AJ181" i="8" s="1"/>
  <c r="AK181" i="8" s="1"/>
  <c r="AL181" i="8" s="1"/>
  <c r="AM181" i="8" s="1"/>
  <c r="AO138" i="8"/>
  <c r="AP138" i="8" s="1"/>
  <c r="AO189" i="8"/>
  <c r="AP189" i="8" s="1"/>
  <c r="AO233" i="8"/>
  <c r="AP233" i="8" s="1"/>
  <c r="AO188" i="8"/>
  <c r="AP188" i="8" s="1"/>
  <c r="AO97" i="8"/>
  <c r="AP97" i="8" s="1"/>
  <c r="AO276" i="8"/>
  <c r="AP276" i="8" s="1"/>
  <c r="AO229" i="8"/>
  <c r="AP229" i="8" s="1"/>
  <c r="AO79" i="8"/>
  <c r="AP79" i="8" s="1"/>
  <c r="AA183" i="8"/>
  <c r="AB183" i="8" s="1"/>
  <c r="AC183" i="8" s="1"/>
  <c r="AD183" i="8" s="1"/>
  <c r="AE183" i="8" s="1"/>
  <c r="AF183" i="8" s="1"/>
  <c r="AG183" i="8" s="1"/>
  <c r="AH183" i="8" s="1"/>
  <c r="AI183" i="8" s="1"/>
  <c r="AJ183" i="8" s="1"/>
  <c r="AK183" i="8" s="1"/>
  <c r="AL183" i="8" s="1"/>
  <c r="AM183" i="8" s="1"/>
  <c r="AO272" i="8"/>
  <c r="AP272" i="8" s="1"/>
  <c r="I253" i="8"/>
  <c r="J253" i="8" s="1"/>
  <c r="K253" i="8" s="1"/>
  <c r="L253" i="8" s="1"/>
  <c r="M253" i="8" s="1"/>
  <c r="N253" i="8" s="1"/>
  <c r="O253" i="8" s="1"/>
  <c r="P253" i="8" s="1"/>
  <c r="Q253" i="8" s="1"/>
  <c r="R253" i="8" s="1"/>
  <c r="S253" i="8" s="1"/>
  <c r="T253" i="8" s="1"/>
  <c r="U253" i="8" s="1"/>
  <c r="V253" i="8" s="1"/>
  <c r="W253" i="8" s="1"/>
  <c r="X253" i="8" s="1"/>
  <c r="Y253" i="8" s="1"/>
  <c r="Z253" i="8" s="1"/>
  <c r="AA253" i="8" s="1"/>
  <c r="AB253" i="8" s="1"/>
  <c r="AC253" i="8" s="1"/>
  <c r="AD253" i="8" s="1"/>
  <c r="AE253" i="8" s="1"/>
  <c r="AF253" i="8" s="1"/>
  <c r="AG253" i="8" s="1"/>
  <c r="AH253" i="8" s="1"/>
  <c r="AI253" i="8" s="1"/>
  <c r="AJ253" i="8" s="1"/>
  <c r="AK253" i="8" s="1"/>
  <c r="N126" i="8"/>
  <c r="O126" i="8" s="1"/>
  <c r="P126" i="8" s="1"/>
  <c r="Q126" i="8" s="1"/>
  <c r="R126" i="8" s="1"/>
  <c r="S126" i="8" s="1"/>
  <c r="T126" i="8" s="1"/>
  <c r="U126" i="8" s="1"/>
  <c r="V126" i="8" s="1"/>
  <c r="W126" i="8" s="1"/>
  <c r="X126" i="8" s="1"/>
  <c r="Y126" i="8" s="1"/>
  <c r="Z126" i="8" s="1"/>
  <c r="AA126" i="8" s="1"/>
  <c r="X92" i="8"/>
  <c r="Y92" i="8" s="1"/>
  <c r="Z92" i="8" s="1"/>
  <c r="AA92" i="8" s="1"/>
  <c r="AB92" i="8" s="1"/>
  <c r="AC92" i="8" s="1"/>
  <c r="AD92" i="8" s="1"/>
  <c r="AE92" i="8" s="1"/>
  <c r="AF92" i="8" s="1"/>
  <c r="AO93" i="8"/>
  <c r="AP93" i="8" s="1"/>
  <c r="X224" i="8"/>
  <c r="Y224" i="8" s="1"/>
  <c r="Z224" i="8" s="1"/>
  <c r="AA224" i="8" s="1"/>
  <c r="AB224" i="8" s="1"/>
  <c r="AC224" i="8" s="1"/>
  <c r="AD224" i="8" s="1"/>
  <c r="AE224" i="8" s="1"/>
  <c r="AF224" i="8" s="1"/>
  <c r="AG224" i="8" s="1"/>
  <c r="AH224" i="8" s="1"/>
  <c r="AI224" i="8" s="1"/>
  <c r="AJ224" i="8" s="1"/>
  <c r="AK224" i="8" s="1"/>
  <c r="AL224" i="8" s="1"/>
  <c r="AM224" i="8" s="1"/>
  <c r="E72" i="8"/>
  <c r="E248" i="8"/>
  <c r="AO125" i="8"/>
  <c r="AP125" i="8" s="1"/>
  <c r="S219" i="8"/>
  <c r="T219" i="8" s="1"/>
  <c r="U219" i="8" s="1"/>
  <c r="V219" i="8" s="1"/>
  <c r="W219" i="8" s="1"/>
  <c r="X219" i="8" s="1"/>
  <c r="Y219" i="8" s="1"/>
  <c r="Z219" i="8" s="1"/>
  <c r="AA219" i="8" s="1"/>
  <c r="AB219" i="8" s="1"/>
  <c r="AC219" i="8" s="1"/>
  <c r="AD219" i="8" s="1"/>
  <c r="AE219" i="8" s="1"/>
  <c r="AF219" i="8" s="1"/>
  <c r="AG219" i="8" s="1"/>
  <c r="AH219" i="8" s="1"/>
  <c r="AI219" i="8" s="1"/>
  <c r="AJ219" i="8" s="1"/>
  <c r="AK219" i="8" s="1"/>
  <c r="AL219" i="8" s="1"/>
  <c r="AM219" i="8" s="1"/>
  <c r="AO264" i="8"/>
  <c r="AP264" i="8" s="1"/>
  <c r="AO139" i="8"/>
  <c r="AP139" i="8" s="1"/>
  <c r="AO193" i="8"/>
  <c r="AP193" i="8" s="1"/>
  <c r="U177" i="8"/>
  <c r="V177" i="8" s="1"/>
  <c r="W177" i="8" s="1"/>
  <c r="X177" i="8" s="1"/>
  <c r="Y177" i="8" s="1"/>
  <c r="Z177" i="8" s="1"/>
  <c r="AA177" i="8" s="1"/>
  <c r="AB177" i="8" s="1"/>
  <c r="AC177" i="8" s="1"/>
  <c r="AD177" i="8" s="1"/>
  <c r="AE177" i="8" s="1"/>
  <c r="AF177" i="8" s="1"/>
  <c r="AG177" i="8" s="1"/>
  <c r="AH177" i="8" s="1"/>
  <c r="AI177" i="8" s="1"/>
  <c r="AJ177" i="8" s="1"/>
  <c r="AK177" i="8" s="1"/>
  <c r="AL177" i="8" s="1"/>
  <c r="AM177" i="8" s="1"/>
  <c r="F74" i="8"/>
  <c r="G74" i="8" s="1"/>
  <c r="H74" i="8" s="1"/>
  <c r="I74" i="8" s="1"/>
  <c r="J74" i="8" s="1"/>
  <c r="K74" i="8" s="1"/>
  <c r="L74" i="8" s="1"/>
  <c r="M74" i="8" s="1"/>
  <c r="N74" i="8" s="1"/>
  <c r="O74" i="8" s="1"/>
  <c r="P74" i="8" s="1"/>
  <c r="Q74" i="8" s="1"/>
  <c r="R74" i="8" s="1"/>
  <c r="S74" i="8" s="1"/>
  <c r="T74" i="8" s="1"/>
  <c r="U74" i="8" s="1"/>
  <c r="V74" i="8" s="1"/>
  <c r="W74" i="8" s="1"/>
  <c r="X74" i="8" s="1"/>
  <c r="Y74" i="8" s="1"/>
  <c r="Z74" i="8" s="1"/>
  <c r="AA74" i="8" s="1"/>
  <c r="AB74" i="8" s="1"/>
  <c r="AC74" i="8" s="1"/>
  <c r="AD74" i="8" s="1"/>
  <c r="AE74" i="8" s="1"/>
  <c r="AF74" i="8" s="1"/>
  <c r="AG74" i="8" s="1"/>
  <c r="AH74" i="8" s="1"/>
  <c r="AI74" i="8" s="1"/>
  <c r="AJ74" i="8" s="1"/>
  <c r="AK74" i="8" s="1"/>
  <c r="AL74" i="8" s="1"/>
  <c r="AM74" i="8" s="1"/>
  <c r="AO163" i="8"/>
  <c r="AP163" i="8" s="1"/>
  <c r="AO129" i="8"/>
  <c r="AP129" i="8" s="1"/>
  <c r="V178" i="8"/>
  <c r="W178" i="8" s="1"/>
  <c r="X178" i="8" s="1"/>
  <c r="Y178" i="8" s="1"/>
  <c r="Z178" i="8" s="1"/>
  <c r="AA178" i="8" s="1"/>
  <c r="AB178" i="8" s="1"/>
  <c r="AC178" i="8" s="1"/>
  <c r="AD178" i="8" s="1"/>
  <c r="AE178" i="8" s="1"/>
  <c r="AF178" i="8" s="1"/>
  <c r="AG178" i="8" s="1"/>
  <c r="AH178" i="8" s="1"/>
  <c r="AI178" i="8" s="1"/>
  <c r="AJ178" i="8" s="1"/>
  <c r="AK178" i="8" s="1"/>
  <c r="AL178" i="8" s="1"/>
  <c r="AM178" i="8" s="1"/>
  <c r="AC141" i="8"/>
  <c r="AD141" i="8" s="1"/>
  <c r="AE141" i="8" s="1"/>
  <c r="AF141" i="8" s="1"/>
  <c r="AG141" i="8" s="1"/>
  <c r="AH141" i="8" s="1"/>
  <c r="AI141" i="8" s="1"/>
  <c r="AJ141" i="8" s="1"/>
  <c r="AK141" i="8" s="1"/>
  <c r="AL141" i="8" s="1"/>
  <c r="AM141" i="8" s="1"/>
  <c r="AO142" i="8"/>
  <c r="AP142" i="8" s="1"/>
  <c r="AC185" i="8"/>
  <c r="AD185" i="8" s="1"/>
  <c r="AE185" i="8" s="1"/>
  <c r="AF185" i="8" s="1"/>
  <c r="AG185" i="8" s="1"/>
  <c r="AH185" i="8" s="1"/>
  <c r="AI185" i="8" s="1"/>
  <c r="AJ185" i="8" s="1"/>
  <c r="AK185" i="8" s="1"/>
  <c r="AL185" i="8" s="1"/>
  <c r="AM185" i="8" s="1"/>
  <c r="O215" i="8"/>
  <c r="P215" i="8" s="1"/>
  <c r="Q215" i="8" s="1"/>
  <c r="R215" i="8" s="1"/>
  <c r="S215" i="8" s="1"/>
  <c r="T215" i="8" s="1"/>
  <c r="U215" i="8" s="1"/>
  <c r="V215" i="8" s="1"/>
  <c r="W215" i="8" s="1"/>
  <c r="X215" i="8" s="1"/>
  <c r="Y215" i="8" s="1"/>
  <c r="Z215" i="8" s="1"/>
  <c r="AA215" i="8" s="1"/>
  <c r="AB215" i="8" s="1"/>
  <c r="AC215" i="8" s="1"/>
  <c r="AD215" i="8" s="1"/>
  <c r="AE215" i="8" s="1"/>
  <c r="AF215" i="8" s="1"/>
  <c r="AG215" i="8" s="1"/>
  <c r="AH215" i="8" s="1"/>
  <c r="AI215" i="8" s="1"/>
  <c r="AJ215" i="8" s="1"/>
  <c r="AK215" i="8" s="1"/>
  <c r="AL215" i="8" s="1"/>
  <c r="AO121" i="8"/>
  <c r="AP121" i="8" s="1"/>
  <c r="AO82" i="8"/>
  <c r="AP82" i="8" s="1"/>
  <c r="Y137" i="8"/>
  <c r="Z137" i="8" s="1"/>
  <c r="AA137" i="8" s="1"/>
  <c r="AB137" i="8" s="1"/>
  <c r="AC137" i="8" s="1"/>
  <c r="AD137" i="8" s="1"/>
  <c r="AE137" i="8" s="1"/>
  <c r="AF137" i="8" s="1"/>
  <c r="AG137" i="8" s="1"/>
  <c r="AH137" i="8" s="1"/>
  <c r="AI137" i="8" s="1"/>
  <c r="AJ137" i="8" s="1"/>
  <c r="AK137" i="8" s="1"/>
  <c r="AL137" i="8" s="1"/>
  <c r="Y225" i="8"/>
  <c r="Z225" i="8" s="1"/>
  <c r="AA225" i="8" s="1"/>
  <c r="AB225" i="8" s="1"/>
  <c r="AC225" i="8" s="1"/>
  <c r="AD225" i="8" s="1"/>
  <c r="AE225" i="8" s="1"/>
  <c r="AF225" i="8" s="1"/>
  <c r="AG225" i="8" s="1"/>
  <c r="AH225" i="8" s="1"/>
  <c r="AI225" i="8" s="1"/>
  <c r="AJ225" i="8" s="1"/>
  <c r="AK225" i="8" s="1"/>
  <c r="AL225" i="8" s="1"/>
  <c r="AM225" i="8" s="1"/>
  <c r="AG33" i="2" l="1"/>
  <c r="AE7" i="46"/>
  <c r="AE20" i="46" s="1"/>
  <c r="AG21" i="2"/>
  <c r="AE5" i="46"/>
  <c r="AE18" i="46" s="1"/>
  <c r="AH9" i="3"/>
  <c r="AF7" i="47" s="1"/>
  <c r="AF23" i="47" s="1"/>
  <c r="H39" i="47" s="1"/>
  <c r="AH9" i="2"/>
  <c r="AG92" i="8"/>
  <c r="AH92" i="8" s="1"/>
  <c r="AI92" i="8" s="1"/>
  <c r="AJ92" i="8" s="1"/>
  <c r="AK92" i="8" s="1"/>
  <c r="AL92" i="8" s="1"/>
  <c r="AM92" i="8" s="1"/>
  <c r="AM72" i="8" s="1"/>
  <c r="AK160" i="8"/>
  <c r="AL204" i="8"/>
  <c r="AK248" i="8"/>
  <c r="AM204" i="8"/>
  <c r="AM160" i="8"/>
  <c r="AJ248" i="8"/>
  <c r="AM248" i="8"/>
  <c r="AH160" i="8"/>
  <c r="AI204" i="8"/>
  <c r="AH145" i="8"/>
  <c r="AI145" i="8" s="1"/>
  <c r="AJ145" i="8" s="1"/>
  <c r="AK145" i="8" s="1"/>
  <c r="AL145" i="8" s="1"/>
  <c r="AM145" i="8" s="1"/>
  <c r="AM116" i="8" s="1"/>
  <c r="AL248" i="8"/>
  <c r="AK204" i="8"/>
  <c r="AJ160" i="8"/>
  <c r="AH248" i="8"/>
  <c r="AJ204" i="8"/>
  <c r="AL160" i="8"/>
  <c r="AI160" i="8"/>
  <c r="AH204" i="8"/>
  <c r="AI248" i="8"/>
  <c r="S116" i="8"/>
  <c r="AO137" i="8"/>
  <c r="AP137" i="8" s="1"/>
  <c r="AO226" i="8"/>
  <c r="AP226" i="8" s="1"/>
  <c r="F204" i="8"/>
  <c r="AE204" i="8"/>
  <c r="AO215" i="8"/>
  <c r="AP215" i="8" s="1"/>
  <c r="AD160" i="8"/>
  <c r="AO74" i="8"/>
  <c r="AP74" i="8" s="1"/>
  <c r="AG204" i="8"/>
  <c r="AA160" i="8"/>
  <c r="AO208" i="8"/>
  <c r="AP208" i="8" s="1"/>
  <c r="AO227" i="8"/>
  <c r="AP227" i="8" s="1"/>
  <c r="AO207" i="8"/>
  <c r="AP207" i="8" s="1"/>
  <c r="AO266" i="8"/>
  <c r="AP266" i="8" s="1"/>
  <c r="V116" i="8"/>
  <c r="AO122" i="8"/>
  <c r="AP122" i="8" s="1"/>
  <c r="AC204" i="8"/>
  <c r="AO224" i="8"/>
  <c r="AP224" i="8" s="1"/>
  <c r="AO89" i="8"/>
  <c r="AP89" i="8" s="1"/>
  <c r="Z116" i="8"/>
  <c r="AG116" i="8"/>
  <c r="AG160" i="8"/>
  <c r="Z160" i="8"/>
  <c r="AO132" i="8"/>
  <c r="AP132" i="8" s="1"/>
  <c r="AO168" i="8"/>
  <c r="AP168" i="8" s="1"/>
  <c r="F72" i="8"/>
  <c r="AO184" i="8"/>
  <c r="AP184" i="8" s="1"/>
  <c r="AO77" i="8"/>
  <c r="AP77" i="8" s="1"/>
  <c r="AO219" i="8"/>
  <c r="AP219" i="8" s="1"/>
  <c r="AB116" i="8"/>
  <c r="AO232" i="8"/>
  <c r="AP232" i="8" s="1"/>
  <c r="AA116" i="8"/>
  <c r="AO253" i="8"/>
  <c r="AP253" i="8" s="1"/>
  <c r="AO220" i="8"/>
  <c r="AP220" i="8" s="1"/>
  <c r="X160" i="8"/>
  <c r="AO118" i="8"/>
  <c r="AP118" i="8" s="1"/>
  <c r="AO221" i="8"/>
  <c r="AP221" i="8" s="1"/>
  <c r="W116" i="8"/>
  <c r="AF160" i="8"/>
  <c r="AO177" i="8"/>
  <c r="AP177" i="8" s="1"/>
  <c r="AO87" i="8"/>
  <c r="AP87" i="8" s="1"/>
  <c r="X116" i="8"/>
  <c r="AF116" i="8"/>
  <c r="AO206" i="8"/>
  <c r="AP206" i="8" s="1"/>
  <c r="AO164" i="8"/>
  <c r="AP164" i="8" s="1"/>
  <c r="AO211" i="8"/>
  <c r="AP211" i="8" s="1"/>
  <c r="G72" i="8"/>
  <c r="H73" i="8"/>
  <c r="AO212" i="8"/>
  <c r="AP212" i="8" s="1"/>
  <c r="AO76" i="8"/>
  <c r="AP76" i="8" s="1"/>
  <c r="AD204" i="8"/>
  <c r="G248" i="8"/>
  <c r="H249" i="8"/>
  <c r="AE160" i="8"/>
  <c r="AB160" i="8"/>
  <c r="AO126" i="8"/>
  <c r="AP126" i="8" s="1"/>
  <c r="F116" i="8"/>
  <c r="G117" i="8"/>
  <c r="AO90" i="8"/>
  <c r="AP90" i="8" s="1"/>
  <c r="Y160" i="8"/>
  <c r="U116" i="8"/>
  <c r="AO175" i="8"/>
  <c r="AP175" i="8" s="1"/>
  <c r="AO80" i="8"/>
  <c r="AP80" i="8" s="1"/>
  <c r="AO78" i="8"/>
  <c r="AP78" i="8" s="1"/>
  <c r="AO225" i="8"/>
  <c r="AP225" i="8" s="1"/>
  <c r="AO185" i="8"/>
  <c r="AP185" i="8" s="1"/>
  <c r="AO183" i="8"/>
  <c r="AP183" i="8" s="1"/>
  <c r="AC116" i="8"/>
  <c r="AO273" i="8"/>
  <c r="AP273" i="8" s="1"/>
  <c r="AD116" i="8"/>
  <c r="AE116" i="8"/>
  <c r="AO179" i="8"/>
  <c r="AP179" i="8" s="1"/>
  <c r="F160" i="8"/>
  <c r="G161" i="8"/>
  <c r="AO259" i="8"/>
  <c r="AP259" i="8" s="1"/>
  <c r="G204" i="8"/>
  <c r="H205" i="8"/>
  <c r="AO144" i="8"/>
  <c r="AP144" i="8" s="1"/>
  <c r="Y116" i="8"/>
  <c r="AO269" i="8"/>
  <c r="AP269" i="8" s="1"/>
  <c r="AF204" i="8"/>
  <c r="AC160" i="8"/>
  <c r="T116" i="8"/>
  <c r="AO181" i="8"/>
  <c r="AP181" i="8" s="1"/>
  <c r="AO141" i="8"/>
  <c r="AP141" i="8" s="1"/>
  <c r="AO252" i="8"/>
  <c r="AP252" i="8" s="1"/>
  <c r="AO165" i="8"/>
  <c r="AP165" i="8" s="1"/>
  <c r="AO178" i="8"/>
  <c r="AP178" i="8" s="1"/>
  <c r="AO127" i="8"/>
  <c r="AP127" i="8" s="1"/>
  <c r="AO162" i="8"/>
  <c r="AP162" i="8" s="1"/>
  <c r="AO263" i="8"/>
  <c r="AP263" i="8" s="1"/>
  <c r="AH20" i="2" l="1"/>
  <c r="AF5" i="46" s="1"/>
  <c r="AF18" i="46" s="1"/>
  <c r="H32" i="46" s="1"/>
  <c r="AF4" i="46"/>
  <c r="AF17" i="46" s="1"/>
  <c r="H31" i="46" s="1"/>
  <c r="AO92" i="8"/>
  <c r="AP92" i="8" s="1"/>
  <c r="AO145" i="8"/>
  <c r="AP145" i="8" s="1"/>
  <c r="AI116" i="8"/>
  <c r="AJ116" i="8"/>
  <c r="AH116" i="8"/>
  <c r="AK116" i="8"/>
  <c r="AL116" i="8"/>
  <c r="H204" i="8"/>
  <c r="I205" i="8"/>
  <c r="G116" i="8"/>
  <c r="H117" i="8"/>
  <c r="H72" i="8"/>
  <c r="I73" i="8"/>
  <c r="G160" i="8"/>
  <c r="H161" i="8"/>
  <c r="H248" i="8"/>
  <c r="I249" i="8"/>
  <c r="AH32" i="2" l="1"/>
  <c r="AH33" i="2" s="1"/>
  <c r="AH21" i="2"/>
  <c r="I204" i="8"/>
  <c r="J205" i="8"/>
  <c r="I72" i="8"/>
  <c r="J73" i="8"/>
  <c r="H160" i="8"/>
  <c r="I161" i="8"/>
  <c r="I248" i="8"/>
  <c r="J249" i="8"/>
  <c r="H116" i="8"/>
  <c r="I117" i="8"/>
  <c r="AF7" i="46" l="1"/>
  <c r="AF20" i="46" s="1"/>
  <c r="H34" i="46" s="1"/>
  <c r="J248" i="8"/>
  <c r="K249" i="8"/>
  <c r="J204" i="8"/>
  <c r="K205" i="8"/>
  <c r="J72" i="8"/>
  <c r="K73" i="8"/>
  <c r="I116" i="8"/>
  <c r="J117" i="8"/>
  <c r="I160" i="8"/>
  <c r="J161" i="8"/>
  <c r="K72" i="8" l="1"/>
  <c r="L73" i="8"/>
  <c r="J160" i="8"/>
  <c r="K161" i="8"/>
  <c r="K248" i="8"/>
  <c r="L249" i="8"/>
  <c r="J116" i="8"/>
  <c r="K117" i="8"/>
  <c r="K204" i="8"/>
  <c r="L205" i="8"/>
  <c r="L204" i="8" l="1"/>
  <c r="M205" i="8"/>
  <c r="L72" i="8"/>
  <c r="M73" i="8"/>
  <c r="N73" i="8" s="1"/>
  <c r="K116" i="8"/>
  <c r="L117" i="8"/>
  <c r="K160" i="8"/>
  <c r="L161" i="8"/>
  <c r="L248" i="8"/>
  <c r="M249" i="8"/>
  <c r="O73" i="8" l="1"/>
  <c r="N72" i="8"/>
  <c r="M72" i="8"/>
  <c r="L116" i="8"/>
  <c r="M117" i="8"/>
  <c r="M204" i="8"/>
  <c r="N205" i="8"/>
  <c r="L160" i="8"/>
  <c r="M161" i="8"/>
  <c r="M248" i="8"/>
  <c r="N249" i="8"/>
  <c r="P73" i="8" l="1"/>
  <c r="O72" i="8"/>
  <c r="N248" i="8"/>
  <c r="O249" i="8"/>
  <c r="M160" i="8"/>
  <c r="N161" i="8"/>
  <c r="N204" i="8"/>
  <c r="O205" i="8"/>
  <c r="M116" i="8"/>
  <c r="N117" i="8"/>
  <c r="Q73" i="8" l="1"/>
  <c r="P72" i="8"/>
  <c r="O204" i="8"/>
  <c r="P205" i="8"/>
  <c r="N116" i="8"/>
  <c r="O117" i="8"/>
  <c r="N160" i="8"/>
  <c r="O161" i="8"/>
  <c r="O248" i="8"/>
  <c r="P249" i="8"/>
  <c r="R73" i="8" l="1"/>
  <c r="Q72" i="8"/>
  <c r="O116" i="8"/>
  <c r="P117" i="8"/>
  <c r="P248" i="8"/>
  <c r="Q249" i="8"/>
  <c r="O160" i="8"/>
  <c r="P161" i="8"/>
  <c r="P204" i="8"/>
  <c r="Q205" i="8"/>
  <c r="S73" i="8" l="1"/>
  <c r="R72" i="8"/>
  <c r="Q248" i="8"/>
  <c r="R249" i="8"/>
  <c r="P160" i="8"/>
  <c r="Q161" i="8"/>
  <c r="Q204" i="8"/>
  <c r="R205" i="8"/>
  <c r="P116" i="8"/>
  <c r="Q117" i="8"/>
  <c r="T73" i="8" l="1"/>
  <c r="S72" i="8"/>
  <c r="Q116" i="8"/>
  <c r="R117" i="8"/>
  <c r="R204" i="8"/>
  <c r="S205" i="8"/>
  <c r="Q160" i="8"/>
  <c r="R161" i="8"/>
  <c r="R248" i="8"/>
  <c r="S249" i="8"/>
  <c r="U73" i="8" l="1"/>
  <c r="T72" i="8"/>
  <c r="S204" i="8"/>
  <c r="T205" i="8"/>
  <c r="R160" i="8"/>
  <c r="S161" i="8"/>
  <c r="R116" i="8"/>
  <c r="AO117" i="8"/>
  <c r="S248" i="8"/>
  <c r="T249" i="8"/>
  <c r="V73" i="8" l="1"/>
  <c r="U72" i="8"/>
  <c r="AO153" i="8"/>
  <c r="AP153" i="8" s="1"/>
  <c r="AP117" i="8"/>
  <c r="S160" i="8"/>
  <c r="T161" i="8"/>
  <c r="T204" i="8"/>
  <c r="U205" i="8"/>
  <c r="T248" i="8"/>
  <c r="U249" i="8"/>
  <c r="W73" i="8" l="1"/>
  <c r="V72" i="8"/>
  <c r="U204" i="8"/>
  <c r="V205" i="8"/>
  <c r="U248" i="8"/>
  <c r="V249" i="8"/>
  <c r="T160" i="8"/>
  <c r="U161" i="8"/>
  <c r="X73" i="8" l="1"/>
  <c r="W72" i="8"/>
  <c r="V204" i="8"/>
  <c r="W205" i="8"/>
  <c r="V248" i="8"/>
  <c r="W249" i="8"/>
  <c r="U160" i="8"/>
  <c r="V161" i="8"/>
  <c r="Y73" i="8" l="1"/>
  <c r="X72" i="8"/>
  <c r="W248" i="8"/>
  <c r="X249" i="8"/>
  <c r="V160" i="8"/>
  <c r="W161" i="8"/>
  <c r="W204" i="8"/>
  <c r="X205" i="8"/>
  <c r="Z73" i="8" l="1"/>
  <c r="Y72" i="8"/>
  <c r="X248" i="8"/>
  <c r="Y249" i="8"/>
  <c r="W160" i="8"/>
  <c r="AO161" i="8"/>
  <c r="X204" i="8"/>
  <c r="Y205" i="8"/>
  <c r="AA73" i="8" l="1"/>
  <c r="Z72" i="8"/>
  <c r="Y248" i="8"/>
  <c r="Z249" i="8"/>
  <c r="AP161" i="8"/>
  <c r="AO197" i="8"/>
  <c r="AP197" i="8" s="1"/>
  <c r="Y204" i="8"/>
  <c r="Z205" i="8"/>
  <c r="AB73" i="8" l="1"/>
  <c r="AA72" i="8"/>
  <c r="Z248" i="8"/>
  <c r="AA249" i="8"/>
  <c r="Z204" i="8"/>
  <c r="AA205" i="8"/>
  <c r="AC73" i="8" l="1"/>
  <c r="AB72" i="8"/>
  <c r="AA204" i="8"/>
  <c r="AB205" i="8"/>
  <c r="AA248" i="8"/>
  <c r="AB249" i="8"/>
  <c r="AD73" i="8" l="1"/>
  <c r="AC72" i="8"/>
  <c r="AB204" i="8"/>
  <c r="AO205" i="8"/>
  <c r="AB248" i="8"/>
  <c r="AC249" i="8"/>
  <c r="AE73" i="8" l="1"/>
  <c r="AD72" i="8"/>
  <c r="AC248" i="8"/>
  <c r="AD249" i="8"/>
  <c r="AO241" i="8"/>
  <c r="AP241" i="8" s="1"/>
  <c r="AP205" i="8"/>
  <c r="AF73" i="8" l="1"/>
  <c r="AE72" i="8"/>
  <c r="AD248" i="8"/>
  <c r="AE249" i="8"/>
  <c r="AG73" i="8" l="1"/>
  <c r="AF72" i="8"/>
  <c r="AE248" i="8"/>
  <c r="AF249" i="8"/>
  <c r="AH73" i="8" l="1"/>
  <c r="AG72" i="8"/>
  <c r="AF248" i="8"/>
  <c r="AG249" i="8"/>
  <c r="AI73" i="8" l="1"/>
  <c r="AH72" i="8"/>
  <c r="AG248" i="8"/>
  <c r="AO249" i="8"/>
  <c r="AJ73" i="8" l="1"/>
  <c r="AI72" i="8"/>
  <c r="AO285" i="8"/>
  <c r="AP285" i="8" s="1"/>
  <c r="AP249" i="8"/>
  <c r="AK73" i="8" l="1"/>
  <c r="AJ72" i="8"/>
  <c r="AL73" i="8" l="1"/>
  <c r="AK72" i="8"/>
  <c r="AL72" i="8" l="1"/>
  <c r="AO73" i="8"/>
  <c r="AP73" i="8" l="1"/>
  <c r="AO109" i="8"/>
  <c r="AP109" i="8" s="1"/>
  <c r="J24" i="5" l="1"/>
  <c r="J10" i="5" s="1"/>
  <c r="J25" i="5"/>
  <c r="J26" i="5"/>
  <c r="J12" i="5" l="1"/>
  <c r="J15" i="2" s="1"/>
  <c r="J11" i="5"/>
  <c r="J13" i="2" s="1"/>
  <c r="J23" i="5"/>
  <c r="J30" i="2"/>
  <c r="J24" i="2" s="1"/>
  <c r="H6" i="46" s="1"/>
  <c r="H19" i="46" s="1"/>
  <c r="J6" i="3"/>
  <c r="J5" i="3" l="1"/>
  <c r="H3" i="47" s="1"/>
  <c r="H19" i="47" s="1"/>
  <c r="H4" i="47"/>
  <c r="H20" i="47" s="1"/>
  <c r="J14" i="2"/>
  <c r="J16" i="2"/>
  <c r="J9" i="5"/>
  <c r="J11" i="2"/>
  <c r="J10" i="2" l="1"/>
  <c r="J12" i="2"/>
  <c r="J10" i="3"/>
  <c r="H8" i="47" s="1"/>
  <c r="H24" i="47" s="1"/>
  <c r="J9" i="2" l="1"/>
  <c r="H4" i="46" s="1"/>
  <c r="H17" i="46" s="1"/>
  <c r="J9" i="3"/>
  <c r="H7" i="47" s="1"/>
  <c r="H23" i="47" s="1"/>
  <c r="J20" i="2" l="1"/>
  <c r="H5" i="46" s="1"/>
  <c r="H18" i="46" s="1"/>
  <c r="J32" i="2" l="1"/>
  <c r="H7" i="46" s="1"/>
  <c r="H20" i="46" s="1"/>
  <c r="J21" i="2"/>
  <c r="J33" i="2" l="1"/>
  <c r="I26" i="4" l="1"/>
  <c r="I27" i="4" s="1"/>
  <c r="D18" i="7" l="1"/>
  <c r="M14" i="1" s="1"/>
  <c r="H27" i="8"/>
  <c r="C17" i="1" l="1"/>
  <c r="E17" i="1" s="1"/>
  <c r="M16" i="1"/>
  <c r="E14" i="4"/>
  <c r="E6" i="2" s="1"/>
  <c r="F14" i="4"/>
  <c r="F6" i="2" s="1"/>
  <c r="G11" i="1"/>
  <c r="C29" i="8" a="1"/>
  <c r="H17" i="8"/>
  <c r="C17" i="8" s="1"/>
  <c r="E5" i="2" l="1"/>
  <c r="E30" i="2" s="1"/>
  <c r="D6" i="2"/>
  <c r="C31" i="8"/>
  <c r="F31" i="8" s="1"/>
  <c r="C34" i="8"/>
  <c r="I34" i="8" s="1"/>
  <c r="C37" i="8"/>
  <c r="L37" i="8" s="1"/>
  <c r="C50" i="8"/>
  <c r="Y50" i="8" s="1"/>
  <c r="C53" i="8"/>
  <c r="AB53" i="8" s="1"/>
  <c r="C40" i="8"/>
  <c r="O40" i="8" s="1"/>
  <c r="C47" i="8"/>
  <c r="V47" i="8" s="1"/>
  <c r="C56" i="8"/>
  <c r="AE56" i="8" s="1"/>
  <c r="C38" i="8"/>
  <c r="M38" i="8" s="1"/>
  <c r="C49" i="8"/>
  <c r="X49" i="8" s="1"/>
  <c r="C54" i="8"/>
  <c r="AC54" i="8" s="1"/>
  <c r="C43" i="8"/>
  <c r="R43" i="8" s="1"/>
  <c r="C44" i="8"/>
  <c r="S44" i="8" s="1"/>
  <c r="C32" i="8"/>
  <c r="G32" i="8" s="1"/>
  <c r="C42" i="8"/>
  <c r="Q42" i="8" s="1"/>
  <c r="C45" i="8"/>
  <c r="T45" i="8" s="1"/>
  <c r="C58" i="8"/>
  <c r="AG58" i="8" s="1"/>
  <c r="C30" i="8"/>
  <c r="E30" i="8" s="1"/>
  <c r="C39" i="8"/>
  <c r="N39" i="8" s="1"/>
  <c r="C48" i="8"/>
  <c r="W48" i="8" s="1"/>
  <c r="C55" i="8"/>
  <c r="AD55" i="8" s="1"/>
  <c r="C29" i="8"/>
  <c r="C41" i="8"/>
  <c r="P41" i="8" s="1"/>
  <c r="C46" i="8"/>
  <c r="U46" i="8" s="1"/>
  <c r="C35" i="8"/>
  <c r="J35" i="8" s="1"/>
  <c r="C36" i="8"/>
  <c r="K36" i="8" s="1"/>
  <c r="C51" i="8"/>
  <c r="Z51" i="8" s="1"/>
  <c r="C52" i="8"/>
  <c r="AA52" i="8" s="1"/>
  <c r="C61" i="8"/>
  <c r="AJ61" i="8" s="1"/>
  <c r="C62" i="8"/>
  <c r="AK62" i="8" s="1"/>
  <c r="C60" i="8"/>
  <c r="AI60" i="8" s="1"/>
  <c r="C57" i="8"/>
  <c r="AF57" i="8" s="1"/>
  <c r="C59" i="8"/>
  <c r="AH59" i="8" s="1"/>
  <c r="C63" i="8"/>
  <c r="AL63" i="8" s="1"/>
  <c r="C64" i="8"/>
  <c r="AM64" i="8" s="1"/>
  <c r="AO64" i="8" s="1"/>
  <c r="AP64" i="8" s="1"/>
  <c r="C33" i="8"/>
  <c r="H33" i="8" s="1"/>
  <c r="I33" i="8" s="1"/>
  <c r="AO17" i="8"/>
  <c r="H18" i="8"/>
  <c r="E12" i="2" l="1"/>
  <c r="C3" i="46"/>
  <c r="C16" i="46" s="1"/>
  <c r="E26" i="2"/>
  <c r="E6" i="3"/>
  <c r="E16" i="2"/>
  <c r="E20" i="2"/>
  <c r="C5" i="46" s="1"/>
  <c r="C18" i="46" s="1"/>
  <c r="E14" i="2"/>
  <c r="AG57" i="8"/>
  <c r="AH57" i="8" s="1"/>
  <c r="AI57" i="8" s="1"/>
  <c r="AJ57" i="8" s="1"/>
  <c r="AK57" i="8" s="1"/>
  <c r="AL57" i="8" s="1"/>
  <c r="AM57" i="8" s="1"/>
  <c r="V46" i="8"/>
  <c r="W46" i="8" s="1"/>
  <c r="X46" i="8" s="1"/>
  <c r="Y46" i="8" s="1"/>
  <c r="Z46" i="8" s="1"/>
  <c r="AA46" i="8" s="1"/>
  <c r="AB46" i="8" s="1"/>
  <c r="AC46" i="8" s="1"/>
  <c r="AD46" i="8" s="1"/>
  <c r="AE46" i="8" s="1"/>
  <c r="AF46" i="8" s="1"/>
  <c r="AG46" i="8" s="1"/>
  <c r="AH46" i="8" s="1"/>
  <c r="AI46" i="8" s="1"/>
  <c r="AJ46" i="8" s="1"/>
  <c r="AK46" i="8" s="1"/>
  <c r="AL46" i="8" s="1"/>
  <c r="AM46" i="8" s="1"/>
  <c r="U45" i="8"/>
  <c r="V45" i="8" s="1"/>
  <c r="W45" i="8" s="1"/>
  <c r="X45" i="8" s="1"/>
  <c r="Y45" i="8" s="1"/>
  <c r="Z45" i="8" s="1"/>
  <c r="AA45" i="8" s="1"/>
  <c r="AB45" i="8" s="1"/>
  <c r="AC45" i="8" s="1"/>
  <c r="AD45" i="8" s="1"/>
  <c r="AE45" i="8" s="1"/>
  <c r="AF45" i="8" s="1"/>
  <c r="AG45" i="8" s="1"/>
  <c r="AH45" i="8" s="1"/>
  <c r="AI45" i="8" s="1"/>
  <c r="AJ45" i="8" s="1"/>
  <c r="AK45" i="8" s="1"/>
  <c r="AL45" i="8" s="1"/>
  <c r="AM45" i="8" s="1"/>
  <c r="AF56" i="8"/>
  <c r="AG56" i="8" s="1"/>
  <c r="AH56" i="8" s="1"/>
  <c r="AI56" i="8" s="1"/>
  <c r="AJ56" i="8" s="1"/>
  <c r="AK56" i="8" s="1"/>
  <c r="AL56" i="8" s="1"/>
  <c r="AM56" i="8" s="1"/>
  <c r="Q41" i="8"/>
  <c r="R41" i="8" s="1"/>
  <c r="S41" i="8" s="1"/>
  <c r="T41" i="8" s="1"/>
  <c r="U41" i="8" s="1"/>
  <c r="V41" i="8" s="1"/>
  <c r="W41" i="8" s="1"/>
  <c r="X41" i="8" s="1"/>
  <c r="Y41" i="8" s="1"/>
  <c r="Z41" i="8" s="1"/>
  <c r="AA41" i="8" s="1"/>
  <c r="AB41" i="8" s="1"/>
  <c r="AC41" i="8" s="1"/>
  <c r="AD41" i="8" s="1"/>
  <c r="AE41" i="8" s="1"/>
  <c r="AF41" i="8" s="1"/>
  <c r="AG41" i="8" s="1"/>
  <c r="AH41" i="8" s="1"/>
  <c r="AI41" i="8" s="1"/>
  <c r="AJ41" i="8" s="1"/>
  <c r="AK41" i="8" s="1"/>
  <c r="AL41" i="8" s="1"/>
  <c r="AM41" i="8" s="1"/>
  <c r="R42" i="8"/>
  <c r="S42" i="8" s="1"/>
  <c r="T42" i="8" s="1"/>
  <c r="U42" i="8" s="1"/>
  <c r="V42" i="8" s="1"/>
  <c r="W42" i="8" s="1"/>
  <c r="X42" i="8" s="1"/>
  <c r="Y42" i="8" s="1"/>
  <c r="Z42" i="8" s="1"/>
  <c r="AA42" i="8" s="1"/>
  <c r="AB42" i="8" s="1"/>
  <c r="AC42" i="8" s="1"/>
  <c r="AD42" i="8" s="1"/>
  <c r="AE42" i="8" s="1"/>
  <c r="AF42" i="8" s="1"/>
  <c r="AG42" i="8" s="1"/>
  <c r="AH42" i="8" s="1"/>
  <c r="AI42" i="8" s="1"/>
  <c r="AJ42" i="8" s="1"/>
  <c r="AK42" i="8" s="1"/>
  <c r="AL42" i="8" s="1"/>
  <c r="AM42" i="8" s="1"/>
  <c r="W47" i="8"/>
  <c r="X47" i="8" s="1"/>
  <c r="Y47" i="8" s="1"/>
  <c r="Z47" i="8" s="1"/>
  <c r="AA47" i="8" s="1"/>
  <c r="AB47" i="8" s="1"/>
  <c r="AC47" i="8" s="1"/>
  <c r="AD47" i="8" s="1"/>
  <c r="AE47" i="8" s="1"/>
  <c r="AF47" i="8" s="1"/>
  <c r="AG47" i="8" s="1"/>
  <c r="AH47" i="8" s="1"/>
  <c r="AI47" i="8" s="1"/>
  <c r="AJ47" i="8" s="1"/>
  <c r="AK47" i="8" s="1"/>
  <c r="AL47" i="8" s="1"/>
  <c r="AM47" i="8" s="1"/>
  <c r="AL62" i="8"/>
  <c r="AM62" i="8" s="1"/>
  <c r="D29" i="8"/>
  <c r="C65" i="8"/>
  <c r="H32" i="8"/>
  <c r="I32" i="8" s="1"/>
  <c r="J32" i="8" s="1"/>
  <c r="K32" i="8" s="1"/>
  <c r="L32" i="8" s="1"/>
  <c r="M32" i="8" s="1"/>
  <c r="N32" i="8" s="1"/>
  <c r="O32" i="8" s="1"/>
  <c r="P32" i="8" s="1"/>
  <c r="Q32" i="8" s="1"/>
  <c r="R32" i="8" s="1"/>
  <c r="S32" i="8" s="1"/>
  <c r="T32" i="8" s="1"/>
  <c r="U32" i="8" s="1"/>
  <c r="V32" i="8" s="1"/>
  <c r="W32" i="8" s="1"/>
  <c r="X32" i="8" s="1"/>
  <c r="Y32" i="8" s="1"/>
  <c r="Z32" i="8" s="1"/>
  <c r="AA32" i="8" s="1"/>
  <c r="AB32" i="8" s="1"/>
  <c r="AC32" i="8" s="1"/>
  <c r="AD32" i="8" s="1"/>
  <c r="AE32" i="8" s="1"/>
  <c r="AF32" i="8" s="1"/>
  <c r="AG32" i="8" s="1"/>
  <c r="AH32" i="8" s="1"/>
  <c r="AI32" i="8" s="1"/>
  <c r="AJ32" i="8" s="1"/>
  <c r="AK32" i="8" s="1"/>
  <c r="AL32" i="8" s="1"/>
  <c r="AM32" i="8" s="1"/>
  <c r="P40" i="8"/>
  <c r="Q40" i="8" s="1"/>
  <c r="R40" i="8" s="1"/>
  <c r="S40" i="8" s="1"/>
  <c r="T40" i="8" s="1"/>
  <c r="U40" i="8" s="1"/>
  <c r="V40" i="8" s="1"/>
  <c r="W40" i="8" s="1"/>
  <c r="X40" i="8" s="1"/>
  <c r="Y40" i="8" s="1"/>
  <c r="Z40" i="8" s="1"/>
  <c r="AA40" i="8" s="1"/>
  <c r="AB40" i="8" s="1"/>
  <c r="AC40" i="8" s="1"/>
  <c r="AD40" i="8" s="1"/>
  <c r="AE40" i="8" s="1"/>
  <c r="AF40" i="8" s="1"/>
  <c r="AG40" i="8" s="1"/>
  <c r="AH40" i="8" s="1"/>
  <c r="AI40" i="8" s="1"/>
  <c r="AJ40" i="8" s="1"/>
  <c r="AK40" i="8" s="1"/>
  <c r="AL40" i="8" s="1"/>
  <c r="AM40" i="8" s="1"/>
  <c r="AJ60" i="8"/>
  <c r="AK60" i="8" s="1"/>
  <c r="AL60" i="8" s="1"/>
  <c r="AM60" i="8" s="1"/>
  <c r="AK61" i="8"/>
  <c r="AL61" i="8" s="1"/>
  <c r="AM61" i="8" s="1"/>
  <c r="AO61" i="8" s="1"/>
  <c r="AP61" i="8" s="1"/>
  <c r="AE55" i="8"/>
  <c r="AF55" i="8" s="1"/>
  <c r="AG55" i="8" s="1"/>
  <c r="AH55" i="8" s="1"/>
  <c r="AI55" i="8" s="1"/>
  <c r="AJ55" i="8" s="1"/>
  <c r="AK55" i="8" s="1"/>
  <c r="AL55" i="8" s="1"/>
  <c r="AM55" i="8" s="1"/>
  <c r="T44" i="8"/>
  <c r="U44" i="8" s="1"/>
  <c r="V44" i="8" s="1"/>
  <c r="W44" i="8" s="1"/>
  <c r="X44" i="8" s="1"/>
  <c r="Y44" i="8" s="1"/>
  <c r="Z44" i="8" s="1"/>
  <c r="AA44" i="8" s="1"/>
  <c r="AB44" i="8" s="1"/>
  <c r="AC44" i="8" s="1"/>
  <c r="AD44" i="8" s="1"/>
  <c r="AE44" i="8" s="1"/>
  <c r="AF44" i="8" s="1"/>
  <c r="AG44" i="8" s="1"/>
  <c r="AH44" i="8" s="1"/>
  <c r="AI44" i="8" s="1"/>
  <c r="AJ44" i="8" s="1"/>
  <c r="AK44" i="8" s="1"/>
  <c r="AL44" i="8" s="1"/>
  <c r="AM44" i="8" s="1"/>
  <c r="AC53" i="8"/>
  <c r="AD53" i="8" s="1"/>
  <c r="AE53" i="8" s="1"/>
  <c r="AF53" i="8" s="1"/>
  <c r="AG53" i="8" s="1"/>
  <c r="AH53" i="8" s="1"/>
  <c r="AI53" i="8" s="1"/>
  <c r="AJ53" i="8" s="1"/>
  <c r="AK53" i="8" s="1"/>
  <c r="AL53" i="8" s="1"/>
  <c r="AM53" i="8" s="1"/>
  <c r="AB52" i="8"/>
  <c r="AC52" i="8" s="1"/>
  <c r="AD52" i="8" s="1"/>
  <c r="AE52" i="8" s="1"/>
  <c r="AF52" i="8" s="1"/>
  <c r="AG52" i="8" s="1"/>
  <c r="AH52" i="8" s="1"/>
  <c r="AI52" i="8" s="1"/>
  <c r="AJ52" i="8" s="1"/>
  <c r="AK52" i="8" s="1"/>
  <c r="AL52" i="8" s="1"/>
  <c r="AM52" i="8" s="1"/>
  <c r="X48" i="8"/>
  <c r="Y48" i="8" s="1"/>
  <c r="Z48" i="8" s="1"/>
  <c r="AA48" i="8" s="1"/>
  <c r="AB48" i="8" s="1"/>
  <c r="AC48" i="8" s="1"/>
  <c r="AD48" i="8" s="1"/>
  <c r="AE48" i="8" s="1"/>
  <c r="AF48" i="8" s="1"/>
  <c r="AG48" i="8" s="1"/>
  <c r="AH48" i="8" s="1"/>
  <c r="AI48" i="8" s="1"/>
  <c r="AJ48" i="8" s="1"/>
  <c r="AK48" i="8" s="1"/>
  <c r="AL48" i="8" s="1"/>
  <c r="AM48" i="8" s="1"/>
  <c r="S43" i="8"/>
  <c r="T43" i="8" s="1"/>
  <c r="U43" i="8" s="1"/>
  <c r="V43" i="8" s="1"/>
  <c r="W43" i="8" s="1"/>
  <c r="X43" i="8" s="1"/>
  <c r="Y43" i="8" s="1"/>
  <c r="Z43" i="8" s="1"/>
  <c r="AA43" i="8" s="1"/>
  <c r="AB43" i="8" s="1"/>
  <c r="AC43" i="8" s="1"/>
  <c r="AD43" i="8" s="1"/>
  <c r="AE43" i="8" s="1"/>
  <c r="AF43" i="8" s="1"/>
  <c r="AG43" i="8" s="1"/>
  <c r="AH43" i="8" s="1"/>
  <c r="AI43" i="8" s="1"/>
  <c r="AJ43" i="8" s="1"/>
  <c r="AK43" i="8" s="1"/>
  <c r="AL43" i="8" s="1"/>
  <c r="AM43" i="8" s="1"/>
  <c r="Z50" i="8"/>
  <c r="AA50" i="8" s="1"/>
  <c r="AB50" i="8" s="1"/>
  <c r="AC50" i="8" s="1"/>
  <c r="AD50" i="8" s="1"/>
  <c r="AE50" i="8" s="1"/>
  <c r="AF50" i="8" s="1"/>
  <c r="AG50" i="8" s="1"/>
  <c r="AH50" i="8" s="1"/>
  <c r="AI50" i="8" s="1"/>
  <c r="AJ50" i="8" s="1"/>
  <c r="AK50" i="8" s="1"/>
  <c r="AL50" i="8" s="1"/>
  <c r="AM50" i="8" s="1"/>
  <c r="O39" i="8"/>
  <c r="P39" i="8" s="1"/>
  <c r="Q39" i="8" s="1"/>
  <c r="R39" i="8" s="1"/>
  <c r="S39" i="8" s="1"/>
  <c r="T39" i="8" s="1"/>
  <c r="U39" i="8" s="1"/>
  <c r="V39" i="8" s="1"/>
  <c r="W39" i="8" s="1"/>
  <c r="X39" i="8" s="1"/>
  <c r="Y39" i="8" s="1"/>
  <c r="Z39" i="8" s="1"/>
  <c r="AA39" i="8" s="1"/>
  <c r="AB39" i="8" s="1"/>
  <c r="AC39" i="8" s="1"/>
  <c r="AD39" i="8" s="1"/>
  <c r="AE39" i="8" s="1"/>
  <c r="AF39" i="8" s="1"/>
  <c r="AG39" i="8" s="1"/>
  <c r="AH39" i="8" s="1"/>
  <c r="AI39" i="8" s="1"/>
  <c r="AJ39" i="8" s="1"/>
  <c r="AK39" i="8" s="1"/>
  <c r="AL39" i="8" s="1"/>
  <c r="AM39" i="8" s="1"/>
  <c r="M37" i="8"/>
  <c r="N37" i="8" s="1"/>
  <c r="O37" i="8" s="1"/>
  <c r="P37" i="8" s="1"/>
  <c r="Q37" i="8" s="1"/>
  <c r="R37" i="8" s="1"/>
  <c r="S37" i="8" s="1"/>
  <c r="T37" i="8" s="1"/>
  <c r="U37" i="8" s="1"/>
  <c r="V37" i="8" s="1"/>
  <c r="W37" i="8" s="1"/>
  <c r="X37" i="8" s="1"/>
  <c r="Y37" i="8" s="1"/>
  <c r="Z37" i="8" s="1"/>
  <c r="AA37" i="8" s="1"/>
  <c r="AB37" i="8" s="1"/>
  <c r="AC37" i="8" s="1"/>
  <c r="AD37" i="8" s="1"/>
  <c r="AE37" i="8" s="1"/>
  <c r="AF37" i="8" s="1"/>
  <c r="AG37" i="8" s="1"/>
  <c r="AH37" i="8" s="1"/>
  <c r="AI37" i="8" s="1"/>
  <c r="AJ37" i="8" s="1"/>
  <c r="AK37" i="8" s="1"/>
  <c r="AL37" i="8" s="1"/>
  <c r="AM37" i="8" s="1"/>
  <c r="AM63" i="8"/>
  <c r="AO63" i="8" s="1"/>
  <c r="AP63" i="8" s="1"/>
  <c r="L36" i="8"/>
  <c r="M36" i="8" s="1"/>
  <c r="N36" i="8" s="1"/>
  <c r="O36" i="8" s="1"/>
  <c r="P36" i="8" s="1"/>
  <c r="Q36" i="8" s="1"/>
  <c r="R36" i="8" s="1"/>
  <c r="S36" i="8" s="1"/>
  <c r="T36" i="8" s="1"/>
  <c r="U36" i="8" s="1"/>
  <c r="V36" i="8" s="1"/>
  <c r="W36" i="8" s="1"/>
  <c r="X36" i="8" s="1"/>
  <c r="Y36" i="8" s="1"/>
  <c r="Z36" i="8" s="1"/>
  <c r="AA36" i="8" s="1"/>
  <c r="AB36" i="8" s="1"/>
  <c r="AC36" i="8" s="1"/>
  <c r="AD36" i="8" s="1"/>
  <c r="AE36" i="8" s="1"/>
  <c r="AF36" i="8" s="1"/>
  <c r="AG36" i="8" s="1"/>
  <c r="AH36" i="8" s="1"/>
  <c r="AI36" i="8" s="1"/>
  <c r="AJ36" i="8" s="1"/>
  <c r="AK36" i="8" s="1"/>
  <c r="AL36" i="8" s="1"/>
  <c r="AM36" i="8" s="1"/>
  <c r="F30" i="8"/>
  <c r="G30" i="8" s="1"/>
  <c r="H30" i="8" s="1"/>
  <c r="I30" i="8" s="1"/>
  <c r="J30" i="8" s="1"/>
  <c r="K30" i="8" s="1"/>
  <c r="L30" i="8" s="1"/>
  <c r="M30" i="8" s="1"/>
  <c r="N30" i="8" s="1"/>
  <c r="O30" i="8" s="1"/>
  <c r="P30" i="8" s="1"/>
  <c r="Q30" i="8" s="1"/>
  <c r="R30" i="8" s="1"/>
  <c r="S30" i="8" s="1"/>
  <c r="T30" i="8" s="1"/>
  <c r="U30" i="8" s="1"/>
  <c r="V30" i="8" s="1"/>
  <c r="W30" i="8" s="1"/>
  <c r="X30" i="8" s="1"/>
  <c r="Y30" i="8" s="1"/>
  <c r="Z30" i="8" s="1"/>
  <c r="AA30" i="8" s="1"/>
  <c r="AB30" i="8" s="1"/>
  <c r="AC30" i="8" s="1"/>
  <c r="AD30" i="8" s="1"/>
  <c r="AE30" i="8" s="1"/>
  <c r="AF30" i="8" s="1"/>
  <c r="AG30" i="8" s="1"/>
  <c r="AH30" i="8" s="1"/>
  <c r="AI30" i="8" s="1"/>
  <c r="AJ30" i="8" s="1"/>
  <c r="AK30" i="8" s="1"/>
  <c r="AL30" i="8" s="1"/>
  <c r="AM30" i="8" s="1"/>
  <c r="Y49" i="8"/>
  <c r="Z49" i="8" s="1"/>
  <c r="AA49" i="8" s="1"/>
  <c r="AB49" i="8" s="1"/>
  <c r="AC49" i="8" s="1"/>
  <c r="AD49" i="8" s="1"/>
  <c r="AE49" i="8" s="1"/>
  <c r="AF49" i="8" s="1"/>
  <c r="AG49" i="8" s="1"/>
  <c r="AH49" i="8" s="1"/>
  <c r="AI49" i="8" s="1"/>
  <c r="AJ49" i="8" s="1"/>
  <c r="AK49" i="8" s="1"/>
  <c r="AL49" i="8" s="1"/>
  <c r="AM49" i="8" s="1"/>
  <c r="J34" i="8"/>
  <c r="K34" i="8" s="1"/>
  <c r="L34" i="8" s="1"/>
  <c r="M34" i="8" s="1"/>
  <c r="N34" i="8" s="1"/>
  <c r="O34" i="8" s="1"/>
  <c r="P34" i="8" s="1"/>
  <c r="Q34" i="8" s="1"/>
  <c r="R34" i="8" s="1"/>
  <c r="S34" i="8" s="1"/>
  <c r="T34" i="8" s="1"/>
  <c r="U34" i="8" s="1"/>
  <c r="V34" i="8" s="1"/>
  <c r="W34" i="8" s="1"/>
  <c r="X34" i="8" s="1"/>
  <c r="Y34" i="8" s="1"/>
  <c r="Z34" i="8" s="1"/>
  <c r="AA34" i="8" s="1"/>
  <c r="AB34" i="8" s="1"/>
  <c r="AC34" i="8" s="1"/>
  <c r="AD34" i="8" s="1"/>
  <c r="AE34" i="8" s="1"/>
  <c r="AF34" i="8" s="1"/>
  <c r="AG34" i="8" s="1"/>
  <c r="AH34" i="8" s="1"/>
  <c r="AI34" i="8" s="1"/>
  <c r="AJ34" i="8" s="1"/>
  <c r="AK34" i="8" s="1"/>
  <c r="AL34" i="8" s="1"/>
  <c r="AM34" i="8" s="1"/>
  <c r="AA51" i="8"/>
  <c r="AB51" i="8" s="1"/>
  <c r="AC51" i="8" s="1"/>
  <c r="AD51" i="8" s="1"/>
  <c r="AE51" i="8" s="1"/>
  <c r="AF51" i="8" s="1"/>
  <c r="AG51" i="8" s="1"/>
  <c r="AH51" i="8" s="1"/>
  <c r="AI51" i="8" s="1"/>
  <c r="AJ51" i="8" s="1"/>
  <c r="AK51" i="8" s="1"/>
  <c r="AL51" i="8" s="1"/>
  <c r="AM51" i="8" s="1"/>
  <c r="AD54" i="8"/>
  <c r="AE54" i="8" s="1"/>
  <c r="AF54" i="8" s="1"/>
  <c r="AG54" i="8" s="1"/>
  <c r="AH54" i="8" s="1"/>
  <c r="AI54" i="8" s="1"/>
  <c r="AJ54" i="8" s="1"/>
  <c r="AK54" i="8" s="1"/>
  <c r="AL54" i="8" s="1"/>
  <c r="AM54" i="8" s="1"/>
  <c r="AI59" i="8"/>
  <c r="AJ59" i="8" s="1"/>
  <c r="AK59" i="8" s="1"/>
  <c r="AL59" i="8" s="1"/>
  <c r="AM59" i="8" s="1"/>
  <c r="K35" i="8"/>
  <c r="L35" i="8" s="1"/>
  <c r="M35" i="8" s="1"/>
  <c r="N35" i="8" s="1"/>
  <c r="O35" i="8" s="1"/>
  <c r="P35" i="8" s="1"/>
  <c r="Q35" i="8" s="1"/>
  <c r="R35" i="8" s="1"/>
  <c r="S35" i="8" s="1"/>
  <c r="T35" i="8" s="1"/>
  <c r="U35" i="8" s="1"/>
  <c r="V35" i="8" s="1"/>
  <c r="W35" i="8" s="1"/>
  <c r="X35" i="8" s="1"/>
  <c r="Y35" i="8" s="1"/>
  <c r="Z35" i="8" s="1"/>
  <c r="AA35" i="8" s="1"/>
  <c r="AB35" i="8" s="1"/>
  <c r="AC35" i="8" s="1"/>
  <c r="AD35" i="8" s="1"/>
  <c r="AE35" i="8" s="1"/>
  <c r="AF35" i="8" s="1"/>
  <c r="AG35" i="8" s="1"/>
  <c r="AH35" i="8" s="1"/>
  <c r="AI35" i="8" s="1"/>
  <c r="AJ35" i="8" s="1"/>
  <c r="AK35" i="8" s="1"/>
  <c r="AL35" i="8" s="1"/>
  <c r="AM35" i="8" s="1"/>
  <c r="AH58" i="8"/>
  <c r="AI58" i="8" s="1"/>
  <c r="AJ58" i="8" s="1"/>
  <c r="AK58" i="8" s="1"/>
  <c r="AL58" i="8" s="1"/>
  <c r="AM58" i="8" s="1"/>
  <c r="N38" i="8"/>
  <c r="O38" i="8" s="1"/>
  <c r="P38" i="8" s="1"/>
  <c r="Q38" i="8" s="1"/>
  <c r="R38" i="8" s="1"/>
  <c r="S38" i="8" s="1"/>
  <c r="T38" i="8" s="1"/>
  <c r="U38" i="8" s="1"/>
  <c r="V38" i="8" s="1"/>
  <c r="W38" i="8" s="1"/>
  <c r="X38" i="8" s="1"/>
  <c r="Y38" i="8" s="1"/>
  <c r="Z38" i="8" s="1"/>
  <c r="AA38" i="8" s="1"/>
  <c r="AB38" i="8" s="1"/>
  <c r="AC38" i="8" s="1"/>
  <c r="AD38" i="8" s="1"/>
  <c r="AE38" i="8" s="1"/>
  <c r="AF38" i="8" s="1"/>
  <c r="AG38" i="8" s="1"/>
  <c r="AH38" i="8" s="1"/>
  <c r="AI38" i="8" s="1"/>
  <c r="AJ38" i="8" s="1"/>
  <c r="AK38" i="8" s="1"/>
  <c r="AL38" i="8" s="1"/>
  <c r="AM38" i="8" s="1"/>
  <c r="G31" i="8"/>
  <c r="H31" i="8" s="1"/>
  <c r="I31" i="8" s="1"/>
  <c r="J31" i="8" s="1"/>
  <c r="K31" i="8" s="1"/>
  <c r="L31" i="8" s="1"/>
  <c r="M31" i="8" s="1"/>
  <c r="N31" i="8" s="1"/>
  <c r="O31" i="8" s="1"/>
  <c r="P31" i="8" s="1"/>
  <c r="Q31" i="8" s="1"/>
  <c r="R31" i="8" s="1"/>
  <c r="S31" i="8" s="1"/>
  <c r="T31" i="8" s="1"/>
  <c r="U31" i="8" s="1"/>
  <c r="V31" i="8" s="1"/>
  <c r="W31" i="8" s="1"/>
  <c r="X31" i="8" s="1"/>
  <c r="Y31" i="8" s="1"/>
  <c r="Z31" i="8" s="1"/>
  <c r="AA31" i="8" s="1"/>
  <c r="AB31" i="8" s="1"/>
  <c r="AC31" i="8" s="1"/>
  <c r="AD31" i="8" s="1"/>
  <c r="AE31" i="8" s="1"/>
  <c r="AF31" i="8" s="1"/>
  <c r="AG31" i="8" s="1"/>
  <c r="AH31" i="8" s="1"/>
  <c r="AI31" i="8" s="1"/>
  <c r="AJ31" i="8" s="1"/>
  <c r="AK31" i="8" s="1"/>
  <c r="AL31" i="8" s="1"/>
  <c r="AM31" i="8" s="1"/>
  <c r="I23" i="3"/>
  <c r="I22" i="3" s="1"/>
  <c r="G13" i="47" s="1"/>
  <c r="G29" i="47" s="1"/>
  <c r="C45" i="47" s="1"/>
  <c r="I17" i="13"/>
  <c r="J33" i="8"/>
  <c r="I18" i="8"/>
  <c r="E24" i="2" l="1"/>
  <c r="E21" i="2"/>
  <c r="E10" i="3"/>
  <c r="C8" i="47" s="1"/>
  <c r="C24" i="47" s="1"/>
  <c r="C6" i="46"/>
  <c r="C19" i="46" s="1"/>
  <c r="E5" i="3"/>
  <c r="C3" i="47" s="1"/>
  <c r="C19" i="47" s="1"/>
  <c r="C4" i="47"/>
  <c r="C20" i="47" s="1"/>
  <c r="E32" i="2"/>
  <c r="AO62" i="8"/>
  <c r="AP62" i="8" s="1"/>
  <c r="AO60" i="8"/>
  <c r="AP60" i="8" s="1"/>
  <c r="AO58" i="8"/>
  <c r="AP58" i="8" s="1"/>
  <c r="AO51" i="8"/>
  <c r="AP51" i="8" s="1"/>
  <c r="AO36" i="8"/>
  <c r="AP36" i="8" s="1"/>
  <c r="AO53" i="8"/>
  <c r="AP53" i="8" s="1"/>
  <c r="AO56" i="8"/>
  <c r="AP56" i="8" s="1"/>
  <c r="AO50" i="8"/>
  <c r="AP50" i="8" s="1"/>
  <c r="AO35" i="8"/>
  <c r="AP35" i="8" s="1"/>
  <c r="AO34" i="8"/>
  <c r="AP34" i="8" s="1"/>
  <c r="AO43" i="8"/>
  <c r="AP43" i="8" s="1"/>
  <c r="AO44" i="8"/>
  <c r="AP44" i="8" s="1"/>
  <c r="AO40" i="8"/>
  <c r="AP40" i="8" s="1"/>
  <c r="AO47" i="8"/>
  <c r="AP47" i="8" s="1"/>
  <c r="AO45" i="8"/>
  <c r="AP45" i="8" s="1"/>
  <c r="AO31" i="8"/>
  <c r="AP31" i="8" s="1"/>
  <c r="AO59" i="8"/>
  <c r="AP59" i="8" s="1"/>
  <c r="AO49" i="8"/>
  <c r="AP49" i="8" s="1"/>
  <c r="AO37" i="8"/>
  <c r="AP37" i="8" s="1"/>
  <c r="AO48" i="8"/>
  <c r="AP48" i="8" s="1"/>
  <c r="AO55" i="8"/>
  <c r="AP55" i="8" s="1"/>
  <c r="AO32" i="8"/>
  <c r="AP32" i="8" s="1"/>
  <c r="AO42" i="8"/>
  <c r="AP42" i="8" s="1"/>
  <c r="AO46" i="8"/>
  <c r="AP46" i="8" s="1"/>
  <c r="AO38" i="8"/>
  <c r="AP38" i="8" s="1"/>
  <c r="AO54" i="8"/>
  <c r="AP54" i="8" s="1"/>
  <c r="AO30" i="8"/>
  <c r="AP30" i="8" s="1"/>
  <c r="AO39" i="8"/>
  <c r="AP39" i="8" s="1"/>
  <c r="AO52" i="8"/>
  <c r="AP52" i="8" s="1"/>
  <c r="AO41" i="8"/>
  <c r="AP41" i="8" s="1"/>
  <c r="D28" i="8"/>
  <c r="D19" i="8" s="1"/>
  <c r="E29" i="8"/>
  <c r="AO57" i="8"/>
  <c r="AP57" i="8" s="1"/>
  <c r="K33" i="8"/>
  <c r="J18" i="8"/>
  <c r="J14" i="13"/>
  <c r="J17" i="13"/>
  <c r="E35" i="2" l="1"/>
  <c r="D20" i="8"/>
  <c r="E33" i="2"/>
  <c r="C7" i="46"/>
  <c r="C20" i="46" s="1"/>
  <c r="E30" i="5"/>
  <c r="E32" i="5" s="1"/>
  <c r="F29" i="8"/>
  <c r="E28" i="8"/>
  <c r="E19" i="8" s="1"/>
  <c r="F35" i="2" s="1"/>
  <c r="D8" i="46" s="1"/>
  <c r="D21" i="46" s="1"/>
  <c r="L33" i="8"/>
  <c r="J21" i="13"/>
  <c r="J40" i="2"/>
  <c r="J16" i="13"/>
  <c r="K17" i="13"/>
  <c r="K14" i="13"/>
  <c r="K18" i="8"/>
  <c r="C8" i="46" l="1"/>
  <c r="C21" i="46" s="1"/>
  <c r="E20" i="8"/>
  <c r="E37" i="2"/>
  <c r="C9" i="46" s="1"/>
  <c r="C22" i="46" s="1"/>
  <c r="G29" i="8"/>
  <c r="F28" i="8"/>
  <c r="F19" i="8" s="1"/>
  <c r="G35" i="2" s="1"/>
  <c r="E8" i="46" s="1"/>
  <c r="E21" i="46" s="1"/>
  <c r="L17" i="13"/>
  <c r="L14" i="13"/>
  <c r="J25" i="3"/>
  <c r="J39" i="2"/>
  <c r="H10" i="46" s="1"/>
  <c r="H23" i="46" s="1"/>
  <c r="L18" i="8"/>
  <c r="K21" i="13"/>
  <c r="K16" i="13"/>
  <c r="K40" i="2"/>
  <c r="M33" i="8"/>
  <c r="D21" i="8" l="1"/>
  <c r="J22" i="3"/>
  <c r="H13" i="47" s="1"/>
  <c r="H29" i="47" s="1"/>
  <c r="G37" i="2"/>
  <c r="E9" i="46" s="1"/>
  <c r="E22" i="46" s="1"/>
  <c r="G30" i="5"/>
  <c r="G32" i="5" s="1"/>
  <c r="H29" i="8"/>
  <c r="G28" i="8"/>
  <c r="G19" i="8" s="1"/>
  <c r="H35" i="2" s="1"/>
  <c r="F8" i="46" s="1"/>
  <c r="F21" i="46" s="1"/>
  <c r="E42" i="2"/>
  <c r="C11" i="46" s="1"/>
  <c r="C24" i="46" s="1"/>
  <c r="E44" i="2"/>
  <c r="E21" i="8"/>
  <c r="F20" i="8"/>
  <c r="M18" i="8"/>
  <c r="N33" i="8"/>
  <c r="K25" i="3"/>
  <c r="K22" i="3" s="1"/>
  <c r="I13" i="47" s="1"/>
  <c r="I29" i="47" s="1"/>
  <c r="K39" i="2"/>
  <c r="I10" i="46" s="1"/>
  <c r="I23" i="46" s="1"/>
  <c r="L16" i="13"/>
  <c r="L21" i="13"/>
  <c r="L40" i="2"/>
  <c r="M14" i="13"/>
  <c r="M17" i="13"/>
  <c r="G20" i="8" l="1"/>
  <c r="F21" i="8"/>
  <c r="H37" i="2"/>
  <c r="F9" i="46" s="1"/>
  <c r="F22" i="46" s="1"/>
  <c r="H30" i="5"/>
  <c r="H32" i="5" s="1"/>
  <c r="I29" i="8"/>
  <c r="H28" i="8"/>
  <c r="H19" i="8" s="1"/>
  <c r="I35" i="2" s="1"/>
  <c r="G8" i="46" s="1"/>
  <c r="G21" i="46" s="1"/>
  <c r="C35" i="46" s="1"/>
  <c r="E43" i="2"/>
  <c r="G42" i="2"/>
  <c r="E11" i="46" s="1"/>
  <c r="E24" i="46" s="1"/>
  <c r="G44" i="2"/>
  <c r="E36" i="5"/>
  <c r="E43" i="5" s="1"/>
  <c r="E15" i="5" s="1"/>
  <c r="E48" i="2" s="1"/>
  <c r="N18" i="8"/>
  <c r="N14" i="13"/>
  <c r="N17" i="13"/>
  <c r="L25" i="3"/>
  <c r="L22" i="3" s="1"/>
  <c r="J13" i="47" s="1"/>
  <c r="J29" i="47" s="1"/>
  <c r="L39" i="2"/>
  <c r="J10" i="46" s="1"/>
  <c r="J23" i="46" s="1"/>
  <c r="O33" i="8"/>
  <c r="M16" i="13"/>
  <c r="M21" i="13"/>
  <c r="M40" i="2"/>
  <c r="E40" i="5" l="1"/>
  <c r="E41" i="5"/>
  <c r="J29" i="8"/>
  <c r="I28" i="8"/>
  <c r="I19" i="8" s="1"/>
  <c r="J35" i="2" s="1"/>
  <c r="H8" i="46" s="1"/>
  <c r="H21" i="46" s="1"/>
  <c r="E37" i="5"/>
  <c r="F35" i="5" s="1"/>
  <c r="G21" i="8"/>
  <c r="H20" i="8"/>
  <c r="G43" i="2"/>
  <c r="H42" i="2"/>
  <c r="F11" i="46" s="1"/>
  <c r="F24" i="46" s="1"/>
  <c r="H44" i="2"/>
  <c r="M25" i="3"/>
  <c r="M22" i="3" s="1"/>
  <c r="K13" i="47" s="1"/>
  <c r="K29" i="47" s="1"/>
  <c r="M39" i="2"/>
  <c r="K10" i="46" s="1"/>
  <c r="K23" i="46" s="1"/>
  <c r="P33" i="8"/>
  <c r="O14" i="13"/>
  <c r="O17" i="13"/>
  <c r="N21" i="13"/>
  <c r="N16" i="13"/>
  <c r="N40" i="2"/>
  <c r="O18" i="8"/>
  <c r="E39" i="5" l="1"/>
  <c r="E14" i="5" s="1"/>
  <c r="H21" i="8"/>
  <c r="I20" i="8"/>
  <c r="H43" i="2"/>
  <c r="J30" i="5"/>
  <c r="J32" i="5" s="1"/>
  <c r="J37" i="2"/>
  <c r="H9" i="46" s="1"/>
  <c r="H22" i="46" s="1"/>
  <c r="K29" i="8"/>
  <c r="J28" i="8"/>
  <c r="J19" i="8" s="1"/>
  <c r="K35" i="2" s="1"/>
  <c r="I8" i="46" s="1"/>
  <c r="I21" i="46" s="1"/>
  <c r="P17" i="13"/>
  <c r="P14" i="13"/>
  <c r="O16" i="13"/>
  <c r="O21" i="13"/>
  <c r="O40" i="2"/>
  <c r="N25" i="3"/>
  <c r="N22" i="3" s="1"/>
  <c r="L13" i="47" s="1"/>
  <c r="L29" i="47" s="1"/>
  <c r="D45" i="47" s="1"/>
  <c r="N39" i="2"/>
  <c r="L10" i="46" s="1"/>
  <c r="L23" i="46" s="1"/>
  <c r="D37" i="46" s="1"/>
  <c r="P18" i="8"/>
  <c r="Q33" i="8"/>
  <c r="E45" i="5" l="1"/>
  <c r="E46" i="5" s="1"/>
  <c r="E47" i="2"/>
  <c r="E46" i="2" s="1"/>
  <c r="C12" i="46" s="1"/>
  <c r="C25" i="46" s="1"/>
  <c r="E13" i="5"/>
  <c r="K30" i="5"/>
  <c r="K32" i="5" s="1"/>
  <c r="K37" i="2"/>
  <c r="I9" i="46" s="1"/>
  <c r="I22" i="46" s="1"/>
  <c r="L29" i="8"/>
  <c r="K28" i="8"/>
  <c r="K19" i="8" s="1"/>
  <c r="L35" i="2" s="1"/>
  <c r="J8" i="46" s="1"/>
  <c r="J21" i="46" s="1"/>
  <c r="I21" i="8"/>
  <c r="J20" i="8"/>
  <c r="J42" i="2"/>
  <c r="J44" i="2"/>
  <c r="Q18" i="8"/>
  <c r="R33" i="8"/>
  <c r="P21" i="13"/>
  <c r="P16" i="13"/>
  <c r="P40" i="2"/>
  <c r="O25" i="3"/>
  <c r="O22" i="3" s="1"/>
  <c r="M13" i="47" s="1"/>
  <c r="M29" i="47" s="1"/>
  <c r="O39" i="2"/>
  <c r="M10" i="46" s="1"/>
  <c r="M23" i="46" s="1"/>
  <c r="Q14" i="13"/>
  <c r="Q17" i="13"/>
  <c r="J43" i="2" l="1"/>
  <c r="H11" i="46"/>
  <c r="H24" i="46" s="1"/>
  <c r="E50" i="2"/>
  <c r="E11" i="3"/>
  <c r="C9" i="47" s="1"/>
  <c r="C25" i="47" s="1"/>
  <c r="K20" i="8"/>
  <c r="J21" i="8"/>
  <c r="L37" i="2"/>
  <c r="J9" i="46" s="1"/>
  <c r="J22" i="46" s="1"/>
  <c r="L30" i="5"/>
  <c r="L32" i="5" s="1"/>
  <c r="K42" i="2"/>
  <c r="K44" i="2"/>
  <c r="M29" i="8"/>
  <c r="L28" i="8"/>
  <c r="L19" i="8" s="1"/>
  <c r="M35" i="2" s="1"/>
  <c r="K8" i="46" s="1"/>
  <c r="K21" i="46" s="1"/>
  <c r="S33" i="8"/>
  <c r="R14" i="13"/>
  <c r="R17" i="13"/>
  <c r="R18" i="8"/>
  <c r="Q21" i="13"/>
  <c r="Q16" i="13"/>
  <c r="Q40" i="2"/>
  <c r="P39" i="2"/>
  <c r="N10" i="46" s="1"/>
  <c r="N23" i="46" s="1"/>
  <c r="P25" i="3"/>
  <c r="P22" i="3" s="1"/>
  <c r="N13" i="47" s="1"/>
  <c r="N29" i="47" s="1"/>
  <c r="K43" i="2" l="1"/>
  <c r="I11" i="46"/>
  <c r="I24" i="46" s="1"/>
  <c r="E51" i="2"/>
  <c r="C13" i="46"/>
  <c r="C26" i="46" s="1"/>
  <c r="E8" i="3"/>
  <c r="M37" i="2"/>
  <c r="K9" i="46" s="1"/>
  <c r="K22" i="46" s="1"/>
  <c r="M30" i="5"/>
  <c r="M32" i="5" s="1"/>
  <c r="N29" i="8"/>
  <c r="M28" i="8"/>
  <c r="M19" i="8" s="1"/>
  <c r="N35" i="2" s="1"/>
  <c r="L8" i="46" s="1"/>
  <c r="L21" i="46" s="1"/>
  <c r="D35" i="46" s="1"/>
  <c r="K21" i="8"/>
  <c r="L20" i="8"/>
  <c r="L42" i="2"/>
  <c r="L44" i="2"/>
  <c r="S17" i="13"/>
  <c r="S14" i="13"/>
  <c r="R16" i="13"/>
  <c r="R21" i="13"/>
  <c r="R40" i="2"/>
  <c r="Q25" i="3"/>
  <c r="Q22" i="3" s="1"/>
  <c r="O13" i="47" s="1"/>
  <c r="O29" i="47" s="1"/>
  <c r="Q39" i="2"/>
  <c r="O10" i="46" s="1"/>
  <c r="O23" i="46" s="1"/>
  <c r="T33" i="8"/>
  <c r="S18" i="8"/>
  <c r="L43" i="2" l="1"/>
  <c r="J11" i="46"/>
  <c r="J24" i="46" s="1"/>
  <c r="E13" i="3"/>
  <c r="C10" i="47" s="1"/>
  <c r="C26" i="47" s="1"/>
  <c r="C6" i="47"/>
  <c r="C22" i="47" s="1"/>
  <c r="N37" i="2"/>
  <c r="L9" i="46" s="1"/>
  <c r="L22" i="46" s="1"/>
  <c r="D36" i="46" s="1"/>
  <c r="N30" i="5"/>
  <c r="N32" i="5" s="1"/>
  <c r="O29" i="8"/>
  <c r="N28" i="8"/>
  <c r="N19" i="8" s="1"/>
  <c r="O35" i="2" s="1"/>
  <c r="M8" i="46" s="1"/>
  <c r="M21" i="46" s="1"/>
  <c r="M20" i="8"/>
  <c r="L21" i="8"/>
  <c r="M42" i="2"/>
  <c r="M44" i="2"/>
  <c r="T18" i="8"/>
  <c r="U33" i="8"/>
  <c r="S40" i="2"/>
  <c r="S16" i="13"/>
  <c r="R25" i="3"/>
  <c r="R22" i="3" s="1"/>
  <c r="P13" i="47" s="1"/>
  <c r="P29" i="47" s="1"/>
  <c r="R39" i="2"/>
  <c r="P10" i="46" s="1"/>
  <c r="P23" i="46" s="1"/>
  <c r="M43" i="2" l="1"/>
  <c r="K11" i="46"/>
  <c r="K24" i="46" s="1"/>
  <c r="E17" i="3"/>
  <c r="O37" i="2"/>
  <c r="M9" i="46" s="1"/>
  <c r="M22" i="46" s="1"/>
  <c r="O30" i="5"/>
  <c r="O32" i="5" s="1"/>
  <c r="P29" i="8"/>
  <c r="O28" i="8"/>
  <c r="O19" i="8" s="1"/>
  <c r="P35" i="2" s="1"/>
  <c r="N8" i="46" s="1"/>
  <c r="N21" i="46" s="1"/>
  <c r="M21" i="8"/>
  <c r="N20" i="8"/>
  <c r="N42" i="2"/>
  <c r="N44" i="2"/>
  <c r="V33" i="8"/>
  <c r="U18" i="8"/>
  <c r="S25" i="3"/>
  <c r="S39" i="2"/>
  <c r="Q10" i="46" s="1"/>
  <c r="Q23" i="46" s="1"/>
  <c r="E37" i="46" s="1"/>
  <c r="C12" i="47" l="1"/>
  <c r="C28" i="47" s="1"/>
  <c r="E28" i="3"/>
  <c r="E18" i="3"/>
  <c r="N43" i="2"/>
  <c r="L11" i="46"/>
  <c r="L24" i="46" s="1"/>
  <c r="D38" i="46" s="1"/>
  <c r="C14" i="47"/>
  <c r="C30" i="47" s="1"/>
  <c r="E19" i="3"/>
  <c r="S22" i="3"/>
  <c r="Q13" i="47" s="1"/>
  <c r="Q29" i="47" s="1"/>
  <c r="E45" i="47" s="1"/>
  <c r="O20" i="8"/>
  <c r="N21" i="8"/>
  <c r="O42" i="2"/>
  <c r="O44" i="2"/>
  <c r="P30" i="5"/>
  <c r="P32" i="5" s="1"/>
  <c r="P37" i="2"/>
  <c r="N9" i="46" s="1"/>
  <c r="N22" i="46" s="1"/>
  <c r="Q29" i="8"/>
  <c r="P28" i="8"/>
  <c r="P19" i="8" s="1"/>
  <c r="Q35" i="2" s="1"/>
  <c r="O8" i="46" s="1"/>
  <c r="O21" i="46" s="1"/>
  <c r="W33" i="8"/>
  <c r="V18" i="8"/>
  <c r="E30" i="3" l="1"/>
  <c r="C16" i="47" s="1"/>
  <c r="C32" i="47" s="1"/>
  <c r="O43" i="2"/>
  <c r="M11" i="46"/>
  <c r="M24" i="46" s="1"/>
  <c r="E29" i="3"/>
  <c r="C15" i="47" s="1"/>
  <c r="C31" i="47" s="1"/>
  <c r="Q30" i="5"/>
  <c r="Q32" i="5" s="1"/>
  <c r="Q37" i="2"/>
  <c r="O9" i="46" s="1"/>
  <c r="O22" i="46" s="1"/>
  <c r="P42" i="2"/>
  <c r="P44" i="2"/>
  <c r="O21" i="8"/>
  <c r="P20" i="8"/>
  <c r="R29" i="8"/>
  <c r="Q28" i="8"/>
  <c r="Q19" i="8" s="1"/>
  <c r="R35" i="2" s="1"/>
  <c r="P8" i="46" s="1"/>
  <c r="P21" i="46" s="1"/>
  <c r="X33" i="8"/>
  <c r="W18" i="8"/>
  <c r="P43" i="2" l="1"/>
  <c r="N11" i="46"/>
  <c r="N24" i="46" s="1"/>
  <c r="R37" i="2"/>
  <c r="P9" i="46" s="1"/>
  <c r="P22" i="46" s="1"/>
  <c r="R30" i="5"/>
  <c r="R32" i="5" s="1"/>
  <c r="S29" i="8"/>
  <c r="R28" i="8"/>
  <c r="R19" i="8" s="1"/>
  <c r="S35" i="2" s="1"/>
  <c r="Q8" i="46" s="1"/>
  <c r="Q21" i="46" s="1"/>
  <c r="E35" i="46" s="1"/>
  <c r="Q20" i="8"/>
  <c r="P21" i="8"/>
  <c r="Q42" i="2"/>
  <c r="Q44" i="2"/>
  <c r="X18" i="8"/>
  <c r="Y33" i="8"/>
  <c r="Q43" i="2" l="1"/>
  <c r="O11" i="46"/>
  <c r="O24" i="46" s="1"/>
  <c r="R20" i="8"/>
  <c r="Q21" i="8"/>
  <c r="S37" i="2"/>
  <c r="Q9" i="46" s="1"/>
  <c r="Q22" i="46" s="1"/>
  <c r="E36" i="46" s="1"/>
  <c r="S30" i="5"/>
  <c r="S32" i="5" s="1"/>
  <c r="T29" i="8"/>
  <c r="S28" i="8"/>
  <c r="S19" i="8" s="1"/>
  <c r="T35" i="2" s="1"/>
  <c r="R8" i="46" s="1"/>
  <c r="R21" i="46" s="1"/>
  <c r="R42" i="2"/>
  <c r="R44" i="2"/>
  <c r="Z33" i="8"/>
  <c r="Y18" i="8"/>
  <c r="R43" i="2" l="1"/>
  <c r="P11" i="46"/>
  <c r="P24" i="46" s="1"/>
  <c r="S42" i="2"/>
  <c r="S44" i="2"/>
  <c r="R21" i="8"/>
  <c r="S20" i="8"/>
  <c r="T30" i="5"/>
  <c r="T32" i="5" s="1"/>
  <c r="T37" i="2"/>
  <c r="R9" i="46" s="1"/>
  <c r="R22" i="46" s="1"/>
  <c r="U29" i="8"/>
  <c r="T28" i="8"/>
  <c r="T19" i="8" s="1"/>
  <c r="U35" i="2" s="1"/>
  <c r="S8" i="46" s="1"/>
  <c r="S21" i="46" s="1"/>
  <c r="Z18" i="8"/>
  <c r="AA33" i="8"/>
  <c r="S43" i="2" l="1"/>
  <c r="Q11" i="46"/>
  <c r="Q24" i="46" s="1"/>
  <c r="E38" i="46" s="1"/>
  <c r="T42" i="2"/>
  <c r="T44" i="2"/>
  <c r="U37" i="2"/>
  <c r="S9" i="46" s="1"/>
  <c r="S22" i="46" s="1"/>
  <c r="U30" i="5"/>
  <c r="U32" i="5" s="1"/>
  <c r="V29" i="8"/>
  <c r="U28" i="8"/>
  <c r="U19" i="8" s="1"/>
  <c r="V35" i="2" s="1"/>
  <c r="T8" i="46" s="1"/>
  <c r="T21" i="46" s="1"/>
  <c r="S21" i="8"/>
  <c r="T20" i="8"/>
  <c r="AB33" i="8"/>
  <c r="AA18" i="8"/>
  <c r="T43" i="2" l="1"/>
  <c r="R11" i="46"/>
  <c r="R24" i="46" s="1"/>
  <c r="V30" i="5"/>
  <c r="V32" i="5" s="1"/>
  <c r="V37" i="2"/>
  <c r="T9" i="46" s="1"/>
  <c r="T22" i="46" s="1"/>
  <c r="U42" i="2"/>
  <c r="U44" i="2"/>
  <c r="U20" i="8"/>
  <c r="T21" i="8"/>
  <c r="W29" i="8"/>
  <c r="V28" i="8"/>
  <c r="V19" i="8" s="1"/>
  <c r="W35" i="2" s="1"/>
  <c r="U8" i="46" s="1"/>
  <c r="U21" i="46" s="1"/>
  <c r="AB18" i="8"/>
  <c r="AC33" i="8"/>
  <c r="U43" i="2" l="1"/>
  <c r="S11" i="46"/>
  <c r="S24" i="46" s="1"/>
  <c r="V42" i="2"/>
  <c r="V44" i="2"/>
  <c r="W30" i="5"/>
  <c r="W32" i="5" s="1"/>
  <c r="W37" i="2"/>
  <c r="U9" i="46" s="1"/>
  <c r="U22" i="46" s="1"/>
  <c r="X29" i="8"/>
  <c r="W28" i="8"/>
  <c r="W19" i="8" s="1"/>
  <c r="X35" i="2" s="1"/>
  <c r="V8" i="46" s="1"/>
  <c r="V21" i="46" s="1"/>
  <c r="F35" i="46" s="1"/>
  <c r="U21" i="8"/>
  <c r="V20" i="8"/>
  <c r="AC18" i="8"/>
  <c r="AD33" i="8"/>
  <c r="V43" i="2" l="1"/>
  <c r="T11" i="46"/>
  <c r="T24" i="46" s="1"/>
  <c r="W44" i="2"/>
  <c r="W42" i="2"/>
  <c r="V21" i="8"/>
  <c r="W20" i="8"/>
  <c r="X37" i="2"/>
  <c r="V9" i="46" s="1"/>
  <c r="V22" i="46" s="1"/>
  <c r="F36" i="46" s="1"/>
  <c r="X30" i="5"/>
  <c r="X32" i="5" s="1"/>
  <c r="Y29" i="8"/>
  <c r="X28" i="8"/>
  <c r="X19" i="8" s="1"/>
  <c r="Y35" i="2" s="1"/>
  <c r="W8" i="46" s="1"/>
  <c r="W21" i="46" s="1"/>
  <c r="AD18" i="8"/>
  <c r="AE33" i="8"/>
  <c r="W43" i="2" l="1"/>
  <c r="U11" i="46"/>
  <c r="U24" i="46" s="1"/>
  <c r="X44" i="2"/>
  <c r="X42" i="2"/>
  <c r="Y37" i="2"/>
  <c r="W9" i="46" s="1"/>
  <c r="W22" i="46" s="1"/>
  <c r="Y30" i="5"/>
  <c r="Y32" i="5" s="1"/>
  <c r="X20" i="8"/>
  <c r="W21" i="8"/>
  <c r="Z29" i="8"/>
  <c r="Y28" i="8"/>
  <c r="Y19" i="8" s="1"/>
  <c r="Z35" i="2" s="1"/>
  <c r="X8" i="46" s="1"/>
  <c r="X21" i="46" s="1"/>
  <c r="AE18" i="8"/>
  <c r="AF33" i="8"/>
  <c r="X43" i="2" l="1"/>
  <c r="V11" i="46"/>
  <c r="V24" i="46" s="1"/>
  <c r="F38" i="46" s="1"/>
  <c r="Y42" i="2"/>
  <c r="Y44" i="2"/>
  <c r="Z30" i="5"/>
  <c r="Z32" i="5" s="1"/>
  <c r="Z37" i="2"/>
  <c r="X9" i="46" s="1"/>
  <c r="X22" i="46" s="1"/>
  <c r="AA29" i="8"/>
  <c r="Z28" i="8"/>
  <c r="Z19" i="8" s="1"/>
  <c r="AA35" i="2" s="1"/>
  <c r="Y8" i="46" s="1"/>
  <c r="Y21" i="46" s="1"/>
  <c r="Y20" i="8"/>
  <c r="X21" i="8"/>
  <c r="AG33" i="8"/>
  <c r="AF18" i="8"/>
  <c r="Y43" i="2" l="1"/>
  <c r="W11" i="46"/>
  <c r="W24" i="46" s="1"/>
  <c r="Y21" i="8"/>
  <c r="Z20" i="8"/>
  <c r="AA37" i="2"/>
  <c r="Y9" i="46" s="1"/>
  <c r="Y22" i="46" s="1"/>
  <c r="AA30" i="5"/>
  <c r="AA32" i="5" s="1"/>
  <c r="AB29" i="8"/>
  <c r="AA28" i="8"/>
  <c r="AA19" i="8" s="1"/>
  <c r="AB35" i="2" s="1"/>
  <c r="Z8" i="46" s="1"/>
  <c r="Z21" i="46" s="1"/>
  <c r="Z44" i="2"/>
  <c r="Z42" i="2"/>
  <c r="AH33" i="8"/>
  <c r="AG18" i="8"/>
  <c r="Z43" i="2" l="1"/>
  <c r="X11" i="46"/>
  <c r="X24" i="46" s="1"/>
  <c r="AA42" i="2"/>
  <c r="AA44" i="2"/>
  <c r="AB37" i="2"/>
  <c r="Z9" i="46" s="1"/>
  <c r="Z22" i="46" s="1"/>
  <c r="AB30" i="5"/>
  <c r="AB32" i="5" s="1"/>
  <c r="AC29" i="8"/>
  <c r="AB28" i="8"/>
  <c r="AB19" i="8" s="1"/>
  <c r="AC35" i="2" s="1"/>
  <c r="AA8" i="46" s="1"/>
  <c r="AA21" i="46" s="1"/>
  <c r="G35" i="46" s="1"/>
  <c r="AA20" i="8"/>
  <c r="Z21" i="8"/>
  <c r="AI33" i="8"/>
  <c r="AH18" i="8"/>
  <c r="AA43" i="2" l="1"/>
  <c r="Y11" i="46"/>
  <c r="Y24" i="46" s="1"/>
  <c r="AB44" i="2"/>
  <c r="AB42" i="2"/>
  <c r="AA21" i="8"/>
  <c r="AB20" i="8"/>
  <c r="AC30" i="5"/>
  <c r="AC32" i="5" s="1"/>
  <c r="AC37" i="2"/>
  <c r="AA9" i="46" s="1"/>
  <c r="AA22" i="46" s="1"/>
  <c r="G36" i="46" s="1"/>
  <c r="AD29" i="8"/>
  <c r="AC28" i="8"/>
  <c r="AC19" i="8" s="1"/>
  <c r="AD35" i="2" s="1"/>
  <c r="AB8" i="46" s="1"/>
  <c r="AB21" i="46" s="1"/>
  <c r="AI18" i="8"/>
  <c r="AJ33" i="8"/>
  <c r="AB43" i="2" l="1"/>
  <c r="Z11" i="46"/>
  <c r="Z24" i="46" s="1"/>
  <c r="AD30" i="5"/>
  <c r="AD32" i="5" s="1"/>
  <c r="AD37" i="2"/>
  <c r="AB9" i="46" s="1"/>
  <c r="AB22" i="46" s="1"/>
  <c r="AE29" i="8"/>
  <c r="AD28" i="8"/>
  <c r="AD19" i="8" s="1"/>
  <c r="AE35" i="2" s="1"/>
  <c r="AC8" i="46" s="1"/>
  <c r="AC21" i="46" s="1"/>
  <c r="AC44" i="2"/>
  <c r="AC42" i="2"/>
  <c r="AB21" i="8"/>
  <c r="AC20" i="8"/>
  <c r="AK33" i="8"/>
  <c r="AJ18" i="8"/>
  <c r="AC43" i="2" l="1"/>
  <c r="AA11" i="46"/>
  <c r="AA24" i="46" s="1"/>
  <c r="G38" i="46" s="1"/>
  <c r="AE37" i="2"/>
  <c r="AC9" i="46" s="1"/>
  <c r="AC22" i="46" s="1"/>
  <c r="AE30" i="5"/>
  <c r="AE32" i="5" s="1"/>
  <c r="AF29" i="8"/>
  <c r="AE28" i="8"/>
  <c r="AE19" i="8" s="1"/>
  <c r="AF35" i="2" s="1"/>
  <c r="AD8" i="46" s="1"/>
  <c r="AD21" i="46" s="1"/>
  <c r="AD42" i="2"/>
  <c r="AD44" i="2"/>
  <c r="AD20" i="8"/>
  <c r="AC21" i="8"/>
  <c r="AK18" i="8"/>
  <c r="AL33" i="8"/>
  <c r="AD43" i="2" l="1"/>
  <c r="AB11" i="46"/>
  <c r="AB24" i="46" s="1"/>
  <c r="AD21" i="8"/>
  <c r="AE20" i="8"/>
  <c r="AF37" i="2"/>
  <c r="AD9" i="46" s="1"/>
  <c r="AD22" i="46" s="1"/>
  <c r="AF30" i="5"/>
  <c r="AF32" i="5" s="1"/>
  <c r="AG29" i="8"/>
  <c r="AF28" i="8"/>
  <c r="AF19" i="8" s="1"/>
  <c r="AG35" i="2" s="1"/>
  <c r="AE8" i="46" s="1"/>
  <c r="AE21" i="46" s="1"/>
  <c r="AE42" i="2"/>
  <c r="AE44" i="2"/>
  <c r="AL18" i="8"/>
  <c r="AM33" i="8"/>
  <c r="AE43" i="2" l="1"/>
  <c r="AC11" i="46"/>
  <c r="AC24" i="46" s="1"/>
  <c r="AH29" i="8"/>
  <c r="AG28" i="8"/>
  <c r="AG19" i="8" s="1"/>
  <c r="AH35" i="2" s="1"/>
  <c r="AG30" i="5"/>
  <c r="AG32" i="5" s="1"/>
  <c r="AG37" i="2"/>
  <c r="AE9" i="46" s="1"/>
  <c r="AE22" i="46" s="1"/>
  <c r="AF20" i="8"/>
  <c r="AE21" i="8"/>
  <c r="AF44" i="2"/>
  <c r="AF42" i="2"/>
  <c r="AM18" i="8"/>
  <c r="AM28" i="8"/>
  <c r="AM19" i="8" s="1"/>
  <c r="AO33" i="8"/>
  <c r="AF8" i="46" l="1"/>
  <c r="AF21" i="46" s="1"/>
  <c r="H35" i="46" s="1"/>
  <c r="BO4" i="45" a="1"/>
  <c r="BO4" i="45" s="1"/>
  <c r="BS4" i="45" s="1"/>
  <c r="AF43" i="2"/>
  <c r="AD11" i="46"/>
  <c r="AD24" i="46" s="1"/>
  <c r="AF21" i="8"/>
  <c r="AG20" i="8"/>
  <c r="AG42" i="2"/>
  <c r="AG44" i="2"/>
  <c r="AH37" i="2"/>
  <c r="AF9" i="46" s="1"/>
  <c r="AF22" i="46" s="1"/>
  <c r="H36" i="46" s="1"/>
  <c r="AH30" i="5"/>
  <c r="AH32" i="5" s="1"/>
  <c r="AI29" i="8"/>
  <c r="AH28" i="8"/>
  <c r="AH19" i="8" s="1"/>
  <c r="AI35" i="2" s="1"/>
  <c r="AJ35" i="2" s="1"/>
  <c r="AK35" i="2" s="1"/>
  <c r="AL35" i="2" s="1"/>
  <c r="AM35" i="2" s="1"/>
  <c r="AP33" i="8"/>
  <c r="AG43" i="2" l="1"/>
  <c r="AE11" i="46"/>
  <c r="AE24" i="46" s="1"/>
  <c r="AH44" i="2"/>
  <c r="AH42" i="2"/>
  <c r="AJ29" i="8"/>
  <c r="AI28" i="8"/>
  <c r="AI19" i="8" s="1"/>
  <c r="AH20" i="8"/>
  <c r="AG21" i="8"/>
  <c r="AH43" i="2" l="1"/>
  <c r="AF11" i="46"/>
  <c r="AF24" i="46" s="1"/>
  <c r="H38" i="46" s="1"/>
  <c r="AH21" i="8"/>
  <c r="AI20" i="8"/>
  <c r="AK29" i="8"/>
  <c r="AJ28" i="8"/>
  <c r="AJ19" i="8" s="1"/>
  <c r="AL29" i="8" l="1"/>
  <c r="AK28" i="8"/>
  <c r="AK19" i="8" s="1"/>
  <c r="AJ20" i="8"/>
  <c r="AI21" i="8"/>
  <c r="AO29" i="8" l="1"/>
  <c r="AL28" i="8"/>
  <c r="AL19" i="8" s="1"/>
  <c r="C19" i="8" s="1"/>
  <c r="AJ21" i="8"/>
  <c r="AK20" i="8"/>
  <c r="AP29" i="8" l="1"/>
  <c r="AO65" i="8"/>
  <c r="AP65" i="8" s="1"/>
  <c r="AL20" i="8"/>
  <c r="AK21" i="8"/>
  <c r="D35" i="2"/>
  <c r="AM20" i="8" l="1"/>
  <c r="G15" i="1" s="1"/>
  <c r="AL21" i="8"/>
  <c r="AM21" i="8" l="1"/>
  <c r="G9" i="1" l="1"/>
  <c r="I28" i="2" l="1"/>
  <c r="D27" i="2"/>
  <c r="F8" i="4"/>
  <c r="F7" i="2"/>
  <c r="F5" i="2" s="1"/>
  <c r="D3" i="46" s="1"/>
  <c r="D16" i="46" s="1"/>
  <c r="D28" i="2" l="1"/>
  <c r="CF4" i="45" a="1"/>
  <c r="CF4" i="45" s="1"/>
  <c r="CG4" i="45" a="1"/>
  <c r="CG4" i="45" s="1"/>
  <c r="I24" i="2"/>
  <c r="F26" i="2"/>
  <c r="F24" i="5"/>
  <c r="CH4" i="45" l="1" a="1"/>
  <c r="CH4" i="45" s="1"/>
  <c r="I10" i="3"/>
  <c r="G8" i="47" s="1"/>
  <c r="G24" i="47" s="1"/>
  <c r="C40" i="47" s="1"/>
  <c r="G6" i="46"/>
  <c r="G19" i="46" s="1"/>
  <c r="C33" i="46" s="1"/>
  <c r="I30" i="5"/>
  <c r="I32" i="5" s="1"/>
  <c r="I32" i="2"/>
  <c r="I37" i="2"/>
  <c r="F26" i="5"/>
  <c r="F12" i="5" s="1"/>
  <c r="F15" i="2" s="1"/>
  <c r="F25" i="5"/>
  <c r="F11" i="5" s="1"/>
  <c r="F13" i="2" s="1"/>
  <c r="F10" i="5"/>
  <c r="F6" i="3"/>
  <c r="D4" i="47" s="1"/>
  <c r="D20" i="47" s="1"/>
  <c r="F30" i="2"/>
  <c r="F24" i="2" s="1"/>
  <c r="D6" i="46" s="1"/>
  <c r="D19" i="46" s="1"/>
  <c r="C4" i="45" l="1" a="1"/>
  <c r="I44" i="2"/>
  <c r="G9" i="46"/>
  <c r="G22" i="46" s="1"/>
  <c r="C36" i="46" s="1"/>
  <c r="I33" i="2"/>
  <c r="G7" i="46"/>
  <c r="G20" i="46" s="1"/>
  <c r="C34" i="46" s="1"/>
  <c r="I21" i="13"/>
  <c r="I42" i="2"/>
  <c r="F5" i="3"/>
  <c r="D3" i="47" s="1"/>
  <c r="D19" i="47" s="1"/>
  <c r="D6" i="3"/>
  <c r="F23" i="5"/>
  <c r="F14" i="2"/>
  <c r="F16" i="2"/>
  <c r="F9" i="5"/>
  <c r="F11" i="2"/>
  <c r="C4" i="45" l="1"/>
  <c r="H4" i="45" s="1"/>
  <c r="I43" i="2"/>
  <c r="G11" i="46"/>
  <c r="G24" i="46" s="1"/>
  <c r="C38" i="46" s="1"/>
  <c r="F10" i="2"/>
  <c r="F12" i="2"/>
  <c r="F10" i="3"/>
  <c r="D8" i="47" s="1"/>
  <c r="D24" i="47" s="1"/>
  <c r="F9" i="3" l="1"/>
  <c r="D7" i="47" s="1"/>
  <c r="D23" i="47" s="1"/>
  <c r="F9" i="2"/>
  <c r="D4" i="46" s="1"/>
  <c r="D17" i="46" s="1"/>
  <c r="F30" i="5" l="1"/>
  <c r="F32" i="5" s="1"/>
  <c r="F20" i="2"/>
  <c r="D5" i="46" s="1"/>
  <c r="D18" i="46" s="1"/>
  <c r="F21" i="2" l="1"/>
  <c r="F32" i="2"/>
  <c r="D7" i="46" s="1"/>
  <c r="D20" i="46" s="1"/>
  <c r="F37" i="2"/>
  <c r="D9" i="46" s="1"/>
  <c r="D22" i="46" s="1"/>
  <c r="F36" i="5" l="1"/>
  <c r="F43" i="5" s="1"/>
  <c r="F15" i="5" s="1"/>
  <c r="F48" i="2" s="1"/>
  <c r="F42" i="2"/>
  <c r="D11" i="46" s="1"/>
  <c r="D24" i="46" s="1"/>
  <c r="F44" i="2"/>
  <c r="F33" i="2"/>
  <c r="F21" i="13"/>
  <c r="D44" i="2" l="1"/>
  <c r="F40" i="5"/>
  <c r="F43" i="2"/>
  <c r="F41" i="5"/>
  <c r="F37" i="5"/>
  <c r="G35" i="5" s="1"/>
  <c r="F39" i="5" l="1"/>
  <c r="F14" i="5" s="1"/>
  <c r="G36" i="5"/>
  <c r="G37" i="5" s="1"/>
  <c r="H35" i="5" s="1"/>
  <c r="F45" i="5" l="1"/>
  <c r="F46" i="5" s="1"/>
  <c r="H36" i="5"/>
  <c r="G41" i="5"/>
  <c r="G43" i="5"/>
  <c r="G15" i="5" s="1"/>
  <c r="G48" i="2" s="1"/>
  <c r="G40" i="5"/>
  <c r="F13" i="5"/>
  <c r="F47" i="2"/>
  <c r="G39" i="5" l="1"/>
  <c r="G14" i="5" s="1"/>
  <c r="F46" i="2"/>
  <c r="F11" i="3"/>
  <c r="D9" i="47" s="1"/>
  <c r="D25" i="47" s="1"/>
  <c r="H41" i="5"/>
  <c r="H43" i="5"/>
  <c r="H15" i="5" s="1"/>
  <c r="H48" i="2" s="1"/>
  <c r="H40" i="5"/>
  <c r="H37" i="5"/>
  <c r="I35" i="5" s="1"/>
  <c r="F50" i="2" l="1"/>
  <c r="D13" i="46" s="1"/>
  <c r="D26" i="46" s="1"/>
  <c r="D12" i="46"/>
  <c r="D25" i="46" s="1"/>
  <c r="F8" i="3"/>
  <c r="G45" i="5"/>
  <c r="G46" i="5" s="1"/>
  <c r="G13" i="5"/>
  <c r="G47" i="2"/>
  <c r="I36" i="5"/>
  <c r="H39" i="5"/>
  <c r="F13" i="3" l="1"/>
  <c r="D10" i="47" s="1"/>
  <c r="D26" i="47" s="1"/>
  <c r="D6" i="47"/>
  <c r="D22" i="47" s="1"/>
  <c r="I41" i="5"/>
  <c r="I40" i="5"/>
  <c r="I43" i="5"/>
  <c r="I15" i="5" s="1"/>
  <c r="I48" i="2" s="1"/>
  <c r="G46" i="2"/>
  <c r="G11" i="3"/>
  <c r="E9" i="47" s="1"/>
  <c r="E25" i="47" s="1"/>
  <c r="H14" i="5"/>
  <c r="H45" i="5"/>
  <c r="H46" i="5" s="1"/>
  <c r="I37" i="5"/>
  <c r="J35" i="5" s="1"/>
  <c r="F51" i="2"/>
  <c r="F17" i="3" l="1"/>
  <c r="D12" i="47" s="1"/>
  <c r="D28" i="47" s="1"/>
  <c r="G50" i="2"/>
  <c r="E13" i="46" s="1"/>
  <c r="E26" i="46" s="1"/>
  <c r="E12" i="46"/>
  <c r="E25" i="46" s="1"/>
  <c r="G8" i="3"/>
  <c r="I39" i="5"/>
  <c r="I45" i="5" s="1"/>
  <c r="I46" i="5" s="1"/>
  <c r="H13" i="5"/>
  <c r="H47" i="2"/>
  <c r="J36" i="5"/>
  <c r="J37" i="5" s="1"/>
  <c r="K35" i="5" s="1"/>
  <c r="F19" i="3" l="1"/>
  <c r="E20" i="3" s="1"/>
  <c r="F28" i="3"/>
  <c r="F30" i="3" s="1"/>
  <c r="F18" i="3"/>
  <c r="G13" i="3"/>
  <c r="E10" i="47" s="1"/>
  <c r="E26" i="47" s="1"/>
  <c r="E6" i="47"/>
  <c r="E22" i="47" s="1"/>
  <c r="I14" i="5"/>
  <c r="I47" i="2" s="1"/>
  <c r="K36" i="5"/>
  <c r="K37" i="5" s="1"/>
  <c r="L35" i="5" s="1"/>
  <c r="G51" i="2"/>
  <c r="H11" i="3"/>
  <c r="F9" i="47" s="1"/>
  <c r="F25" i="47" s="1"/>
  <c r="H46" i="2"/>
  <c r="J43" i="5"/>
  <c r="J15" i="5" s="1"/>
  <c r="J48" i="2" s="1"/>
  <c r="J41" i="5"/>
  <c r="J40" i="5"/>
  <c r="F29" i="3" l="1"/>
  <c r="D15" i="47" s="1"/>
  <c r="D31" i="47" s="1"/>
  <c r="D14" i="47"/>
  <c r="D30" i="47" s="1"/>
  <c r="D16" i="47"/>
  <c r="D32" i="47" s="1"/>
  <c r="E31" i="3"/>
  <c r="G17" i="3"/>
  <c r="E12" i="47" s="1"/>
  <c r="E28" i="47" s="1"/>
  <c r="H50" i="2"/>
  <c r="F13" i="46" s="1"/>
  <c r="F26" i="46" s="1"/>
  <c r="F12" i="46"/>
  <c r="F25" i="46" s="1"/>
  <c r="H8" i="3"/>
  <c r="I13" i="5"/>
  <c r="J39" i="5"/>
  <c r="J45" i="5" s="1"/>
  <c r="J46" i="5" s="1"/>
  <c r="L36" i="5"/>
  <c r="K43" i="5"/>
  <c r="K15" i="5" s="1"/>
  <c r="K48" i="2" s="1"/>
  <c r="K41" i="5"/>
  <c r="K40" i="5"/>
  <c r="I11" i="3"/>
  <c r="I46" i="2"/>
  <c r="G12" i="46" s="1"/>
  <c r="G25" i="46" s="1"/>
  <c r="C39" i="46" s="1"/>
  <c r="G28" i="3" l="1"/>
  <c r="E14" i="47" s="1"/>
  <c r="E30" i="47" s="1"/>
  <c r="G18" i="3"/>
  <c r="G19" i="3"/>
  <c r="F20" i="3" s="1"/>
  <c r="H13" i="3"/>
  <c r="F10" i="47" s="1"/>
  <c r="F26" i="47" s="1"/>
  <c r="F6" i="47"/>
  <c r="F22" i="47" s="1"/>
  <c r="I8" i="3"/>
  <c r="G9" i="47"/>
  <c r="G25" i="47" s="1"/>
  <c r="C41" i="47" s="1"/>
  <c r="I50" i="2"/>
  <c r="J14" i="5"/>
  <c r="J47" i="2" s="1"/>
  <c r="H51" i="2"/>
  <c r="L41" i="5"/>
  <c r="L40" i="5"/>
  <c r="L43" i="5"/>
  <c r="L15" i="5" s="1"/>
  <c r="L48" i="2" s="1"/>
  <c r="K39" i="5"/>
  <c r="L37" i="5"/>
  <c r="M35" i="5" s="1"/>
  <c r="G30" i="3" l="1"/>
  <c r="F31" i="3" s="1"/>
  <c r="G29" i="3"/>
  <c r="E15" i="47" s="1"/>
  <c r="E31" i="47" s="1"/>
  <c r="H17" i="3"/>
  <c r="H28" i="3" s="1"/>
  <c r="I51" i="2"/>
  <c r="G13" i="46"/>
  <c r="G26" i="46" s="1"/>
  <c r="C40" i="46" s="1"/>
  <c r="I13" i="3"/>
  <c r="G6" i="47"/>
  <c r="G22" i="47" s="1"/>
  <c r="C38" i="47" s="1"/>
  <c r="J13" i="5"/>
  <c r="L39" i="5"/>
  <c r="L45" i="5" s="1"/>
  <c r="L46" i="5" s="1"/>
  <c r="J11" i="3"/>
  <c r="H9" i="47" s="1"/>
  <c r="H25" i="47" s="1"/>
  <c r="J46" i="2"/>
  <c r="M36" i="5"/>
  <c r="K45" i="5"/>
  <c r="K46" i="5" s="1"/>
  <c r="K14" i="5"/>
  <c r="E16" i="47" l="1"/>
  <c r="E32" i="47" s="1"/>
  <c r="F12" i="47"/>
  <c r="F28" i="47" s="1"/>
  <c r="H19" i="3"/>
  <c r="G20" i="3" s="1"/>
  <c r="H18" i="3"/>
  <c r="J50" i="2"/>
  <c r="H13" i="46" s="1"/>
  <c r="H26" i="46" s="1"/>
  <c r="H12" i="46"/>
  <c r="H25" i="46" s="1"/>
  <c r="I17" i="3"/>
  <c r="G10" i="47"/>
  <c r="G26" i="47" s="1"/>
  <c r="C42" i="47" s="1"/>
  <c r="H29" i="3"/>
  <c r="F15" i="47" s="1"/>
  <c r="F31" i="47" s="1"/>
  <c r="F14" i="47"/>
  <c r="F30" i="47" s="1"/>
  <c r="H30" i="3"/>
  <c r="J8" i="3"/>
  <c r="L14" i="5"/>
  <c r="L47" i="2" s="1"/>
  <c r="K13" i="5"/>
  <c r="K47" i="2"/>
  <c r="M41" i="5"/>
  <c r="M40" i="5"/>
  <c r="M43" i="5"/>
  <c r="M15" i="5" s="1"/>
  <c r="M48" i="2" s="1"/>
  <c r="M37" i="5"/>
  <c r="N35" i="5" s="1"/>
  <c r="I28" i="3" l="1"/>
  <c r="G14" i="47" s="1"/>
  <c r="G30" i="47" s="1"/>
  <c r="C46" i="47" s="1"/>
  <c r="G12" i="47"/>
  <c r="G28" i="47" s="1"/>
  <c r="C44" i="47" s="1"/>
  <c r="I19" i="3"/>
  <c r="H20" i="3" s="1"/>
  <c r="I18" i="3"/>
  <c r="J13" i="3"/>
  <c r="H10" i="47" s="1"/>
  <c r="H26" i="47" s="1"/>
  <c r="H6" i="47"/>
  <c r="H22" i="47" s="1"/>
  <c r="F16" i="47"/>
  <c r="F32" i="47" s="1"/>
  <c r="G31" i="3"/>
  <c r="L13" i="5"/>
  <c r="M39" i="5"/>
  <c r="M14" i="5" s="1"/>
  <c r="L46" i="2"/>
  <c r="J12" i="46" s="1"/>
  <c r="J25" i="46" s="1"/>
  <c r="L11" i="3"/>
  <c r="K11" i="3"/>
  <c r="K46" i="2"/>
  <c r="J51" i="2"/>
  <c r="N36" i="5"/>
  <c r="I30" i="3" l="1"/>
  <c r="G16" i="47" s="1"/>
  <c r="G32" i="47" s="1"/>
  <c r="C48" i="47" s="1"/>
  <c r="L8" i="3"/>
  <c r="J9" i="47"/>
  <c r="J25" i="47" s="1"/>
  <c r="J17" i="3"/>
  <c r="J19" i="3" s="1"/>
  <c r="I20" i="3" s="1"/>
  <c r="K8" i="3"/>
  <c r="I6" i="47" s="1"/>
  <c r="I22" i="47" s="1"/>
  <c r="I9" i="47"/>
  <c r="I25" i="47" s="1"/>
  <c r="K50" i="2"/>
  <c r="I13" i="46" s="1"/>
  <c r="I26" i="46" s="1"/>
  <c r="I12" i="46"/>
  <c r="I25" i="46" s="1"/>
  <c r="I29" i="3"/>
  <c r="G15" i="47" s="1"/>
  <c r="G31" i="47" s="1"/>
  <c r="C47" i="47" s="1"/>
  <c r="L50" i="2"/>
  <c r="M45" i="5"/>
  <c r="M46" i="5" s="1"/>
  <c r="N40" i="5"/>
  <c r="N41" i="5"/>
  <c r="N43" i="5"/>
  <c r="N15" i="5" s="1"/>
  <c r="N48" i="2" s="1"/>
  <c r="N37" i="5"/>
  <c r="O35" i="5" s="1"/>
  <c r="M13" i="5"/>
  <c r="M47" i="2"/>
  <c r="K13" i="3" l="1"/>
  <c r="I10" i="47" s="1"/>
  <c r="I26" i="47" s="1"/>
  <c r="J18" i="3"/>
  <c r="H31" i="3"/>
  <c r="J28" i="3"/>
  <c r="H12" i="47"/>
  <c r="H28" i="47" s="1"/>
  <c r="L51" i="2"/>
  <c r="J13" i="46"/>
  <c r="J26" i="46" s="1"/>
  <c r="L13" i="3"/>
  <c r="J6" i="47"/>
  <c r="J22" i="47" s="1"/>
  <c r="K51" i="2"/>
  <c r="O36" i="5"/>
  <c r="O37" i="5" s="1"/>
  <c r="P35" i="5" s="1"/>
  <c r="M46" i="2"/>
  <c r="K12" i="46" s="1"/>
  <c r="K25" i="46" s="1"/>
  <c r="M11" i="3"/>
  <c r="N39" i="5"/>
  <c r="K17" i="3" l="1"/>
  <c r="I12" i="47" s="1"/>
  <c r="I28" i="47" s="1"/>
  <c r="J29" i="3"/>
  <c r="H15" i="47" s="1"/>
  <c r="H31" i="47" s="1"/>
  <c r="H14" i="47"/>
  <c r="H30" i="47" s="1"/>
  <c r="J30" i="3"/>
  <c r="L17" i="3"/>
  <c r="J10" i="47"/>
  <c r="J26" i="47" s="1"/>
  <c r="M8" i="3"/>
  <c r="K9" i="47"/>
  <c r="K25" i="47" s="1"/>
  <c r="M50" i="2"/>
  <c r="P36" i="5"/>
  <c r="P37" i="5" s="1"/>
  <c r="Q35" i="5" s="1"/>
  <c r="N45" i="5"/>
  <c r="N46" i="5" s="1"/>
  <c r="N14" i="5"/>
  <c r="O41" i="5"/>
  <c r="O43" i="5"/>
  <c r="O15" i="5" s="1"/>
  <c r="O48" i="2" s="1"/>
  <c r="O40" i="5"/>
  <c r="K28" i="3" l="1"/>
  <c r="K30" i="3" s="1"/>
  <c r="J31" i="3" s="1"/>
  <c r="K18" i="3"/>
  <c r="L18" i="3" s="1"/>
  <c r="K19" i="3"/>
  <c r="J20" i="3" s="1"/>
  <c r="L28" i="3"/>
  <c r="J14" i="47" s="1"/>
  <c r="J30" i="47" s="1"/>
  <c r="J12" i="47"/>
  <c r="J28" i="47" s="1"/>
  <c r="M13" i="3"/>
  <c r="K6" i="47"/>
  <c r="K22" i="47" s="1"/>
  <c r="M51" i="2"/>
  <c r="K13" i="46"/>
  <c r="K26" i="46" s="1"/>
  <c r="H16" i="47"/>
  <c r="H32" i="47" s="1"/>
  <c r="I31" i="3"/>
  <c r="O39" i="5"/>
  <c r="O14" i="5" s="1"/>
  <c r="Q36" i="5"/>
  <c r="Q37" i="5" s="1"/>
  <c r="R35" i="5" s="1"/>
  <c r="N47" i="2"/>
  <c r="N13" i="5"/>
  <c r="P43" i="5"/>
  <c r="P15" i="5" s="1"/>
  <c r="P48" i="2" s="1"/>
  <c r="P40" i="5"/>
  <c r="P41" i="5"/>
  <c r="L19" i="3" l="1"/>
  <c r="K20" i="3" s="1"/>
  <c r="I16" i="47"/>
  <c r="I32" i="47" s="1"/>
  <c r="I14" i="47"/>
  <c r="I30" i="47" s="1"/>
  <c r="K29" i="3"/>
  <c r="I15" i="47" s="1"/>
  <c r="I31" i="47" s="1"/>
  <c r="L30" i="3"/>
  <c r="J16" i="47" s="1"/>
  <c r="J32" i="47" s="1"/>
  <c r="M17" i="3"/>
  <c r="K10" i="47"/>
  <c r="K26" i="47" s="1"/>
  <c r="O45" i="5"/>
  <c r="O46" i="5" s="1"/>
  <c r="O47" i="2"/>
  <c r="O13" i="5"/>
  <c r="R36" i="5"/>
  <c r="R37" i="5" s="1"/>
  <c r="S35" i="5" s="1"/>
  <c r="P39" i="5"/>
  <c r="Q43" i="5"/>
  <c r="Q15" i="5" s="1"/>
  <c r="Q48" i="2" s="1"/>
  <c r="Q41" i="5"/>
  <c r="Q40" i="5"/>
  <c r="N46" i="2"/>
  <c r="L12" i="46" s="1"/>
  <c r="L25" i="46" s="1"/>
  <c r="D39" i="46" s="1"/>
  <c r="N11" i="3"/>
  <c r="M19" i="3" l="1"/>
  <c r="L20" i="3" s="1"/>
  <c r="L29" i="3"/>
  <c r="J15" i="47" s="1"/>
  <c r="J31" i="47" s="1"/>
  <c r="K31" i="3"/>
  <c r="M18" i="3"/>
  <c r="N8" i="3"/>
  <c r="L9" i="47"/>
  <c r="L25" i="47" s="1"/>
  <c r="D41" i="47" s="1"/>
  <c r="M28" i="3"/>
  <c r="K12" i="47"/>
  <c r="K28" i="47" s="1"/>
  <c r="N50" i="2"/>
  <c r="Q39" i="5"/>
  <c r="Q45" i="5" s="1"/>
  <c r="Q46" i="5" s="1"/>
  <c r="P14" i="5"/>
  <c r="P45" i="5"/>
  <c r="P46" i="5" s="1"/>
  <c r="S36" i="5"/>
  <c r="S37" i="5" s="1"/>
  <c r="T35" i="5" s="1"/>
  <c r="R40" i="5"/>
  <c r="R41" i="5"/>
  <c r="R43" i="5"/>
  <c r="R15" i="5" s="1"/>
  <c r="R48" i="2" s="1"/>
  <c r="O46" i="2"/>
  <c r="M12" i="46" s="1"/>
  <c r="M25" i="46" s="1"/>
  <c r="O11" i="3"/>
  <c r="K14" i="47" l="1"/>
  <c r="K30" i="47" s="1"/>
  <c r="M30" i="3"/>
  <c r="O8" i="3"/>
  <c r="M9" i="47"/>
  <c r="M25" i="47" s="1"/>
  <c r="N13" i="3"/>
  <c r="L6" i="47"/>
  <c r="L22" i="47" s="1"/>
  <c r="D38" i="47" s="1"/>
  <c r="M29" i="3"/>
  <c r="K15" i="47" s="1"/>
  <c r="K31" i="47" s="1"/>
  <c r="N51" i="2"/>
  <c r="L13" i="46"/>
  <c r="L26" i="46" s="1"/>
  <c r="D40" i="46" s="1"/>
  <c r="O50" i="2"/>
  <c r="Q14" i="5"/>
  <c r="Q47" i="2" s="1"/>
  <c r="S41" i="5"/>
  <c r="S43" i="5"/>
  <c r="S15" i="5" s="1"/>
  <c r="S48" i="2" s="1"/>
  <c r="S40" i="5"/>
  <c r="T36" i="5"/>
  <c r="R39" i="5"/>
  <c r="P47" i="2"/>
  <c r="P13" i="5"/>
  <c r="N17" i="3" l="1"/>
  <c r="L10" i="47"/>
  <c r="L26" i="47" s="1"/>
  <c r="D42" i="47" s="1"/>
  <c r="O13" i="3"/>
  <c r="M6" i="47"/>
  <c r="M22" i="47" s="1"/>
  <c r="O51" i="2"/>
  <c r="M13" i="46"/>
  <c r="M26" i="46" s="1"/>
  <c r="K16" i="47"/>
  <c r="K32" i="47" s="1"/>
  <c r="L31" i="3"/>
  <c r="Q13" i="5"/>
  <c r="S39" i="5"/>
  <c r="S45" i="5" s="1"/>
  <c r="S46" i="5" s="1"/>
  <c r="R45" i="5"/>
  <c r="R46" i="5" s="1"/>
  <c r="R14" i="5"/>
  <c r="P46" i="2"/>
  <c r="N12" i="46" s="1"/>
  <c r="N25" i="46" s="1"/>
  <c r="P11" i="3"/>
  <c r="T43" i="5"/>
  <c r="T15" i="5" s="1"/>
  <c r="T48" i="2" s="1"/>
  <c r="T40" i="5"/>
  <c r="T41" i="5"/>
  <c r="T37" i="5"/>
  <c r="U35" i="5" s="1"/>
  <c r="Q11" i="3"/>
  <c r="Q46" i="2"/>
  <c r="O12" i="46" s="1"/>
  <c r="O25" i="46" s="1"/>
  <c r="L12" i="47" l="1"/>
  <c r="L28" i="47" s="1"/>
  <c r="D44" i="47" s="1"/>
  <c r="N28" i="3"/>
  <c r="N18" i="3"/>
  <c r="N19" i="3"/>
  <c r="Q8" i="3"/>
  <c r="O9" i="47"/>
  <c r="O25" i="47" s="1"/>
  <c r="O17" i="3"/>
  <c r="M10" i="47"/>
  <c r="M26" i="47" s="1"/>
  <c r="P8" i="3"/>
  <c r="N9" i="47"/>
  <c r="N25" i="47" s="1"/>
  <c r="P50" i="2"/>
  <c r="Q50" i="2"/>
  <c r="S14" i="5"/>
  <c r="S47" i="2" s="1"/>
  <c r="U36" i="5"/>
  <c r="U37" i="5" s="1"/>
  <c r="V35" i="5" s="1"/>
  <c r="T39" i="5"/>
  <c r="R47" i="2"/>
  <c r="R13" i="5"/>
  <c r="Q13" i="3" l="1"/>
  <c r="O6" i="47"/>
  <c r="O22" i="47" s="1"/>
  <c r="Q51" i="2"/>
  <c r="O13" i="46"/>
  <c r="O26" i="46" s="1"/>
  <c r="O19" i="3"/>
  <c r="M20" i="3"/>
  <c r="P13" i="3"/>
  <c r="N6" i="47"/>
  <c r="N22" i="47" s="1"/>
  <c r="O28" i="3"/>
  <c r="M14" i="47" s="1"/>
  <c r="M30" i="47" s="1"/>
  <c r="M12" i="47"/>
  <c r="M28" i="47" s="1"/>
  <c r="P51" i="2"/>
  <c r="N13" i="46"/>
  <c r="N26" i="46" s="1"/>
  <c r="O18" i="3"/>
  <c r="L14" i="47"/>
  <c r="L30" i="47" s="1"/>
  <c r="D46" i="47" s="1"/>
  <c r="N30" i="3"/>
  <c r="N29" i="3"/>
  <c r="S13" i="5"/>
  <c r="T14" i="5"/>
  <c r="T45" i="5"/>
  <c r="T46" i="5" s="1"/>
  <c r="R46" i="2"/>
  <c r="P12" i="46" s="1"/>
  <c r="P25" i="46" s="1"/>
  <c r="R11" i="3"/>
  <c r="V36" i="5"/>
  <c r="V37" i="5" s="1"/>
  <c r="W35" i="5" s="1"/>
  <c r="S46" i="2"/>
  <c r="Q12" i="46" s="1"/>
  <c r="Q25" i="46" s="1"/>
  <c r="E39" i="46" s="1"/>
  <c r="S11" i="3"/>
  <c r="U41" i="5"/>
  <c r="U40" i="5"/>
  <c r="U43" i="5"/>
  <c r="U15" i="5" s="1"/>
  <c r="U48" i="2" s="1"/>
  <c r="L16" i="47" l="1"/>
  <c r="L32" i="47" s="1"/>
  <c r="D48" i="47" s="1"/>
  <c r="O30" i="3"/>
  <c r="M31" i="3"/>
  <c r="P17" i="3"/>
  <c r="P19" i="3" s="1"/>
  <c r="N10" i="47"/>
  <c r="N26" i="47" s="1"/>
  <c r="N20" i="3"/>
  <c r="O29" i="3"/>
  <c r="M15" i="47" s="1"/>
  <c r="M31" i="47" s="1"/>
  <c r="L15" i="47"/>
  <c r="L31" i="47" s="1"/>
  <c r="D47" i="47" s="1"/>
  <c r="S8" i="3"/>
  <c r="Q9" i="47"/>
  <c r="Q25" i="47" s="1"/>
  <c r="E41" i="47" s="1"/>
  <c r="R8" i="3"/>
  <c r="P9" i="47"/>
  <c r="P25" i="47" s="1"/>
  <c r="Q17" i="3"/>
  <c r="O10" i="47"/>
  <c r="O26" i="47" s="1"/>
  <c r="R50" i="2"/>
  <c r="S50" i="2"/>
  <c r="U39" i="5"/>
  <c r="U14" i="5" s="1"/>
  <c r="W36" i="5"/>
  <c r="V43" i="5"/>
  <c r="V15" i="5" s="1"/>
  <c r="V48" i="2" s="1"/>
  <c r="V41" i="5"/>
  <c r="V40" i="5"/>
  <c r="T47" i="2"/>
  <c r="T13" i="5"/>
  <c r="Q28" i="3" l="1"/>
  <c r="O14" i="47" s="1"/>
  <c r="O30" i="47" s="1"/>
  <c r="O12" i="47"/>
  <c r="O28" i="47" s="1"/>
  <c r="R13" i="3"/>
  <c r="P6" i="47"/>
  <c r="P22" i="47" s="1"/>
  <c r="P28" i="3"/>
  <c r="N12" i="47"/>
  <c r="N28" i="47" s="1"/>
  <c r="S13" i="3"/>
  <c r="Q6" i="47"/>
  <c r="Q22" i="47" s="1"/>
  <c r="E38" i="47" s="1"/>
  <c r="Q19" i="3"/>
  <c r="O20" i="3"/>
  <c r="S51" i="2"/>
  <c r="Q13" i="46"/>
  <c r="Q26" i="46" s="1"/>
  <c r="E40" i="46" s="1"/>
  <c r="P18" i="3"/>
  <c r="Q18" i="3" s="1"/>
  <c r="M16" i="47"/>
  <c r="M32" i="47" s="1"/>
  <c r="N31" i="3"/>
  <c r="R51" i="2"/>
  <c r="P13" i="46"/>
  <c r="P26" i="46" s="1"/>
  <c r="U45" i="5"/>
  <c r="U46" i="5" s="1"/>
  <c r="T11" i="3"/>
  <c r="T46" i="2"/>
  <c r="R12" i="46" s="1"/>
  <c r="R25" i="46" s="1"/>
  <c r="W40" i="5"/>
  <c r="W43" i="5"/>
  <c r="W15" i="5" s="1"/>
  <c r="W48" i="2" s="1"/>
  <c r="W41" i="5"/>
  <c r="W37" i="5"/>
  <c r="X35" i="5" s="1"/>
  <c r="V39" i="5"/>
  <c r="U47" i="2"/>
  <c r="U13" i="5"/>
  <c r="S17" i="3" l="1"/>
  <c r="Q10" i="47"/>
  <c r="Q26" i="47" s="1"/>
  <c r="E42" i="47" s="1"/>
  <c r="P29" i="3"/>
  <c r="N14" i="47"/>
  <c r="N30" i="47" s="1"/>
  <c r="P30" i="3"/>
  <c r="T8" i="3"/>
  <c r="R9" i="47"/>
  <c r="R25" i="47" s="1"/>
  <c r="R17" i="3"/>
  <c r="R19" i="3" s="1"/>
  <c r="P10" i="47"/>
  <c r="P26" i="47" s="1"/>
  <c r="P20" i="3"/>
  <c r="T50" i="2"/>
  <c r="X36" i="5"/>
  <c r="X37" i="5" s="1"/>
  <c r="Y35" i="5" s="1"/>
  <c r="U11" i="3"/>
  <c r="U46" i="2"/>
  <c r="S12" i="46" s="1"/>
  <c r="S25" i="46" s="1"/>
  <c r="V14" i="5"/>
  <c r="V45" i="5"/>
  <c r="V46" i="5" s="1"/>
  <c r="W39" i="5"/>
  <c r="R18" i="3" l="1"/>
  <c r="S18" i="3" s="1"/>
  <c r="U8" i="3"/>
  <c r="S9" i="47"/>
  <c r="S25" i="47" s="1"/>
  <c r="T13" i="3"/>
  <c r="R6" i="47"/>
  <c r="R22" i="47" s="1"/>
  <c r="T51" i="2"/>
  <c r="R13" i="46"/>
  <c r="R26" i="46" s="1"/>
  <c r="N16" i="47"/>
  <c r="N32" i="47" s="1"/>
  <c r="Q30" i="3"/>
  <c r="O31" i="3"/>
  <c r="S19" i="3"/>
  <c r="Q20" i="3"/>
  <c r="N15" i="47"/>
  <c r="N31" i="47" s="1"/>
  <c r="Q29" i="3"/>
  <c r="O15" i="47" s="1"/>
  <c r="O31" i="47" s="1"/>
  <c r="R28" i="3"/>
  <c r="P12" i="47"/>
  <c r="P28" i="47" s="1"/>
  <c r="S28" i="3"/>
  <c r="Q14" i="47" s="1"/>
  <c r="Q30" i="47" s="1"/>
  <c r="E46" i="47" s="1"/>
  <c r="Q12" i="47"/>
  <c r="Q28" i="47" s="1"/>
  <c r="E44" i="47" s="1"/>
  <c r="U50" i="2"/>
  <c r="W45" i="5"/>
  <c r="W46" i="5" s="1"/>
  <c r="W14" i="5"/>
  <c r="V47" i="2"/>
  <c r="V13" i="5"/>
  <c r="Y36" i="5"/>
  <c r="X40" i="5"/>
  <c r="X41" i="5"/>
  <c r="X43" i="5"/>
  <c r="X15" i="5" s="1"/>
  <c r="X48" i="2" s="1"/>
  <c r="R29" i="3" l="1"/>
  <c r="P14" i="47"/>
  <c r="P30" i="47" s="1"/>
  <c r="O16" i="47"/>
  <c r="O32" i="47" s="1"/>
  <c r="P31" i="3"/>
  <c r="R30" i="3"/>
  <c r="T17" i="3"/>
  <c r="T19" i="3" s="1"/>
  <c r="R10" i="47"/>
  <c r="R26" i="47" s="1"/>
  <c r="R20" i="3"/>
  <c r="U51" i="2"/>
  <c r="S13" i="46"/>
  <c r="S26" i="46" s="1"/>
  <c r="U13" i="3"/>
  <c r="S6" i="47"/>
  <c r="S22" i="47" s="1"/>
  <c r="X39" i="5"/>
  <c r="X45" i="5" s="1"/>
  <c r="X46" i="5" s="1"/>
  <c r="V46" i="2"/>
  <c r="T12" i="46" s="1"/>
  <c r="T25" i="46" s="1"/>
  <c r="V11" i="3"/>
  <c r="Y43" i="5"/>
  <c r="Y15" i="5" s="1"/>
  <c r="Y48" i="2" s="1"/>
  <c r="Y40" i="5"/>
  <c r="Y41" i="5"/>
  <c r="W47" i="2"/>
  <c r="W13" i="5"/>
  <c r="Y37" i="5"/>
  <c r="Z35" i="5" s="1"/>
  <c r="T28" i="3" l="1"/>
  <c r="R12" i="47"/>
  <c r="R28" i="47" s="1"/>
  <c r="T18" i="3"/>
  <c r="P16" i="47"/>
  <c r="P32" i="47" s="1"/>
  <c r="S30" i="3"/>
  <c r="Q31" i="3"/>
  <c r="S20" i="3"/>
  <c r="U17" i="3"/>
  <c r="U19" i="3" s="1"/>
  <c r="T20" i="3" s="1"/>
  <c r="S10" i="47"/>
  <c r="S26" i="47" s="1"/>
  <c r="V8" i="3"/>
  <c r="T9" i="47"/>
  <c r="T25" i="47" s="1"/>
  <c r="P15" i="47"/>
  <c r="P31" i="47" s="1"/>
  <c r="S29" i="3"/>
  <c r="Q15" i="47" s="1"/>
  <c r="Q31" i="47" s="1"/>
  <c r="E47" i="47" s="1"/>
  <c r="V50" i="2"/>
  <c r="X14" i="5"/>
  <c r="X13" i="5" s="1"/>
  <c r="W46" i="2"/>
  <c r="U12" i="46" s="1"/>
  <c r="U25" i="46" s="1"/>
  <c r="W11" i="3"/>
  <c r="Y39" i="5"/>
  <c r="Z36" i="5"/>
  <c r="Z37" i="5" s="1"/>
  <c r="AA35" i="5" s="1"/>
  <c r="U18" i="3" l="1"/>
  <c r="Q16" i="47"/>
  <c r="Q32" i="47" s="1"/>
  <c r="E48" i="47" s="1"/>
  <c r="R31" i="3"/>
  <c r="T30" i="3"/>
  <c r="V13" i="3"/>
  <c r="T6" i="47"/>
  <c r="T22" i="47" s="1"/>
  <c r="V51" i="2"/>
  <c r="T13" i="46"/>
  <c r="T26" i="46" s="1"/>
  <c r="W8" i="3"/>
  <c r="U9" i="47"/>
  <c r="U25" i="47" s="1"/>
  <c r="U28" i="3"/>
  <c r="S12" i="47"/>
  <c r="S28" i="47" s="1"/>
  <c r="T29" i="3"/>
  <c r="R15" i="47" s="1"/>
  <c r="R31" i="47" s="1"/>
  <c r="R14" i="47"/>
  <c r="R30" i="47" s="1"/>
  <c r="W50" i="2"/>
  <c r="AA36" i="5"/>
  <c r="X47" i="2"/>
  <c r="X46" i="2" s="1"/>
  <c r="V12" i="46" s="1"/>
  <c r="V25" i="46" s="1"/>
  <c r="F39" i="46" s="1"/>
  <c r="Z43" i="5"/>
  <c r="Z15" i="5" s="1"/>
  <c r="Z48" i="2" s="1"/>
  <c r="Z40" i="5"/>
  <c r="Z41" i="5"/>
  <c r="Y45" i="5"/>
  <c r="Y46" i="5" s="1"/>
  <c r="Y14" i="5"/>
  <c r="V17" i="3" l="1"/>
  <c r="T10" i="47"/>
  <c r="T26" i="47" s="1"/>
  <c r="U29" i="3"/>
  <c r="S15" i="47" s="1"/>
  <c r="S31" i="47" s="1"/>
  <c r="S14" i="47"/>
  <c r="S30" i="47" s="1"/>
  <c r="R16" i="47"/>
  <c r="R32" i="47" s="1"/>
  <c r="U30" i="3"/>
  <c r="S31" i="3"/>
  <c r="W51" i="2"/>
  <c r="U13" i="46"/>
  <c r="U26" i="46" s="1"/>
  <c r="W13" i="3"/>
  <c r="U6" i="47"/>
  <c r="U22" i="47" s="1"/>
  <c r="X50" i="2"/>
  <c r="AA40" i="5"/>
  <c r="AA43" i="5"/>
  <c r="AA41" i="5"/>
  <c r="AA37" i="5"/>
  <c r="AB35" i="5" s="1"/>
  <c r="AB36" i="5" s="1"/>
  <c r="X11" i="3"/>
  <c r="Y13" i="5"/>
  <c r="Y47" i="2"/>
  <c r="Z39" i="5"/>
  <c r="X51" i="2" l="1"/>
  <c r="V13" i="46"/>
  <c r="V26" i="46" s="1"/>
  <c r="F40" i="46" s="1"/>
  <c r="S16" i="47"/>
  <c r="S32" i="47" s="1"/>
  <c r="T31" i="3"/>
  <c r="X8" i="3"/>
  <c r="V9" i="47"/>
  <c r="V25" i="47" s="1"/>
  <c r="F41" i="47" s="1"/>
  <c r="W17" i="3"/>
  <c r="U10" i="47"/>
  <c r="U26" i="47" s="1"/>
  <c r="V28" i="3"/>
  <c r="V30" i="3" s="1"/>
  <c r="T12" i="47"/>
  <c r="T28" i="47" s="1"/>
  <c r="V18" i="3"/>
  <c r="V19" i="3"/>
  <c r="AB37" i="5"/>
  <c r="AC35" i="5" s="1"/>
  <c r="AC36" i="5" s="1"/>
  <c r="AB40" i="5"/>
  <c r="AB43" i="5"/>
  <c r="AB41" i="5"/>
  <c r="AA39" i="5"/>
  <c r="AA45" i="5" s="1"/>
  <c r="AA46" i="5" s="1"/>
  <c r="AA15" i="5"/>
  <c r="AA48" i="2" s="1"/>
  <c r="Y46" i="2"/>
  <c r="W12" i="46" s="1"/>
  <c r="W25" i="46" s="1"/>
  <c r="Y11" i="3"/>
  <c r="Z45" i="5"/>
  <c r="Z46" i="5" s="1"/>
  <c r="Z14" i="5"/>
  <c r="U31" i="3" l="1"/>
  <c r="T16" i="47"/>
  <c r="T32" i="47" s="1"/>
  <c r="W28" i="3"/>
  <c r="U14" i="47" s="1"/>
  <c r="U30" i="47" s="1"/>
  <c r="U12" i="47"/>
  <c r="U28" i="47" s="1"/>
  <c r="X13" i="3"/>
  <c r="V6" i="47"/>
  <c r="V22" i="47" s="1"/>
  <c r="F38" i="47" s="1"/>
  <c r="U20" i="3"/>
  <c r="W19" i="3"/>
  <c r="W18" i="3"/>
  <c r="Y8" i="3"/>
  <c r="W9" i="47"/>
  <c r="W25" i="47" s="1"/>
  <c r="V29" i="3"/>
  <c r="T14" i="47"/>
  <c r="T30" i="47" s="1"/>
  <c r="Y50" i="2"/>
  <c r="AC41" i="5"/>
  <c r="AC43" i="5"/>
  <c r="AC40" i="5"/>
  <c r="AB39" i="5"/>
  <c r="AB45" i="5" s="1"/>
  <c r="AB46" i="5" s="1"/>
  <c r="AC37" i="5"/>
  <c r="AD35" i="5" s="1"/>
  <c r="AD36" i="5" s="1"/>
  <c r="AA14" i="5"/>
  <c r="AA13" i="5" s="1"/>
  <c r="AB15" i="5"/>
  <c r="AB48" i="2" s="1"/>
  <c r="Z47" i="2"/>
  <c r="Z13" i="5"/>
  <c r="X17" i="3" l="1"/>
  <c r="X19" i="3" s="1"/>
  <c r="V10" i="47"/>
  <c r="V26" i="47" s="1"/>
  <c r="F42" i="47" s="1"/>
  <c r="Y51" i="2"/>
  <c r="W13" i="46"/>
  <c r="W26" i="46" s="1"/>
  <c r="T15" i="47"/>
  <c r="T31" i="47" s="1"/>
  <c r="W29" i="3"/>
  <c r="W30" i="3"/>
  <c r="Y13" i="3"/>
  <c r="W6" i="47"/>
  <c r="W22" i="47" s="1"/>
  <c r="V20" i="3"/>
  <c r="AC39" i="5"/>
  <c r="AC45" i="5" s="1"/>
  <c r="AC46" i="5" s="1"/>
  <c r="AB14" i="5"/>
  <c r="AB13" i="5" s="1"/>
  <c r="AD41" i="5"/>
  <c r="AD43" i="5"/>
  <c r="AD40" i="5"/>
  <c r="AD37" i="5"/>
  <c r="AE35" i="5" s="1"/>
  <c r="AE36" i="5" s="1"/>
  <c r="AE37" i="5" s="1"/>
  <c r="AC15" i="5"/>
  <c r="AC48" i="2" s="1"/>
  <c r="AA47" i="2"/>
  <c r="AA11" i="3" s="1"/>
  <c r="Z11" i="3"/>
  <c r="Z46" i="2"/>
  <c r="X12" i="46" s="1"/>
  <c r="X25" i="46" s="1"/>
  <c r="X18" i="3" l="1"/>
  <c r="U15" i="47"/>
  <c r="U31" i="47" s="1"/>
  <c r="V31" i="3"/>
  <c r="U16" i="47"/>
  <c r="U32" i="47" s="1"/>
  <c r="W20" i="3"/>
  <c r="Z8" i="3"/>
  <c r="X9" i="47"/>
  <c r="X25" i="47" s="1"/>
  <c r="AA8" i="3"/>
  <c r="Y9" i="47"/>
  <c r="Y25" i="47" s="1"/>
  <c r="Y17" i="3"/>
  <c r="Y19" i="3" s="1"/>
  <c r="X20" i="3" s="1"/>
  <c r="W10" i="47"/>
  <c r="W26" i="47" s="1"/>
  <c r="X28" i="3"/>
  <c r="V12" i="47"/>
  <c r="V28" i="47" s="1"/>
  <c r="F44" i="47" s="1"/>
  <c r="Z50" i="2"/>
  <c r="AC14" i="5"/>
  <c r="AC13" i="5" s="1"/>
  <c r="AE41" i="5"/>
  <c r="AE43" i="5"/>
  <c r="AE40" i="5"/>
  <c r="AD39" i="5"/>
  <c r="AD45" i="5" s="1"/>
  <c r="AD46" i="5" s="1"/>
  <c r="AD15" i="5"/>
  <c r="AD48" i="2" s="1"/>
  <c r="AA46" i="2"/>
  <c r="Y12" i="46" s="1"/>
  <c r="Y25" i="46" s="1"/>
  <c r="AF35" i="5"/>
  <c r="AB47" i="2"/>
  <c r="Z51" i="2" l="1"/>
  <c r="X13" i="46"/>
  <c r="X26" i="46" s="1"/>
  <c r="Z13" i="3"/>
  <c r="X6" i="47"/>
  <c r="X22" i="47" s="1"/>
  <c r="X30" i="3"/>
  <c r="V14" i="47"/>
  <c r="V30" i="47" s="1"/>
  <c r="F46" i="47" s="1"/>
  <c r="Y28" i="3"/>
  <c r="W14" i="47" s="1"/>
  <c r="W30" i="47" s="1"/>
  <c r="W12" i="47"/>
  <c r="W28" i="47" s="1"/>
  <c r="X29" i="3"/>
  <c r="AA13" i="3"/>
  <c r="Y6" i="47"/>
  <c r="Y22" i="47" s="1"/>
  <c r="Y18" i="3"/>
  <c r="AA50" i="2"/>
  <c r="AD14" i="5"/>
  <c r="AD13" i="5" s="1"/>
  <c r="AE39" i="5"/>
  <c r="AE45" i="5" s="1"/>
  <c r="AE46" i="5" s="1"/>
  <c r="AF36" i="5"/>
  <c r="AF37" i="5" s="1"/>
  <c r="AE15" i="5"/>
  <c r="AE48" i="2" s="1"/>
  <c r="AC47" i="2"/>
  <c r="AB46" i="2"/>
  <c r="Z12" i="46" s="1"/>
  <c r="Z25" i="46" s="1"/>
  <c r="AB11" i="3"/>
  <c r="AA51" i="2" l="1"/>
  <c r="Y13" i="46"/>
  <c r="Y26" i="46" s="1"/>
  <c r="W31" i="3"/>
  <c r="V16" i="47"/>
  <c r="V32" i="47" s="1"/>
  <c r="F48" i="47" s="1"/>
  <c r="Y30" i="3"/>
  <c r="Z17" i="3"/>
  <c r="X10" i="47"/>
  <c r="X26" i="47" s="1"/>
  <c r="AA17" i="3"/>
  <c r="Y10" i="47"/>
  <c r="Y26" i="47" s="1"/>
  <c r="AB8" i="3"/>
  <c r="Z9" i="47"/>
  <c r="Z25" i="47" s="1"/>
  <c r="V15" i="47"/>
  <c r="V31" i="47" s="1"/>
  <c r="F47" i="47" s="1"/>
  <c r="Y29" i="3"/>
  <c r="W15" i="47" s="1"/>
  <c r="W31" i="47" s="1"/>
  <c r="AB50" i="2"/>
  <c r="AF41" i="5"/>
  <c r="AF40" i="5"/>
  <c r="AF43" i="5"/>
  <c r="AE14" i="5"/>
  <c r="AE13" i="5" s="1"/>
  <c r="AD47" i="2"/>
  <c r="AG35" i="5"/>
  <c r="AC46" i="2"/>
  <c r="AA12" i="46" s="1"/>
  <c r="AA25" i="46" s="1"/>
  <c r="G39" i="46" s="1"/>
  <c r="AC11" i="3"/>
  <c r="AB51" i="2" l="1"/>
  <c r="Z13" i="46"/>
  <c r="Z26" i="46" s="1"/>
  <c r="Z28" i="3"/>
  <c r="Z30" i="3" s="1"/>
  <c r="X12" i="47"/>
  <c r="X28" i="47" s="1"/>
  <c r="Z19" i="3"/>
  <c r="W16" i="47"/>
  <c r="W32" i="47" s="1"/>
  <c r="X31" i="3"/>
  <c r="AC8" i="3"/>
  <c r="AA9" i="47"/>
  <c r="AA25" i="47" s="1"/>
  <c r="G41" i="47" s="1"/>
  <c r="AB13" i="3"/>
  <c r="Z6" i="47"/>
  <c r="Z22" i="47" s="1"/>
  <c r="Z18" i="3"/>
  <c r="AA18" i="3" s="1"/>
  <c r="AA28" i="3"/>
  <c r="Y14" i="47" s="1"/>
  <c r="Y30" i="47" s="1"/>
  <c r="Y12" i="47"/>
  <c r="Y28" i="47" s="1"/>
  <c r="AC50" i="2"/>
  <c r="AF39" i="5"/>
  <c r="AF45" i="5" s="1"/>
  <c r="AF46" i="5" s="1"/>
  <c r="AG36" i="5"/>
  <c r="AG37" i="5" s="1"/>
  <c r="AH35" i="5" s="1"/>
  <c r="AF15" i="5"/>
  <c r="AF48" i="2" s="1"/>
  <c r="AE47" i="2"/>
  <c r="AE11" i="3" s="1"/>
  <c r="AD46" i="2"/>
  <c r="AB12" i="46" s="1"/>
  <c r="AB25" i="46" s="1"/>
  <c r="AD11" i="3"/>
  <c r="AD8" i="3" l="1"/>
  <c r="AB9" i="47"/>
  <c r="AB25" i="47" s="1"/>
  <c r="X16" i="47"/>
  <c r="X32" i="47" s="1"/>
  <c r="Y31" i="3"/>
  <c r="AA30" i="3"/>
  <c r="Y20" i="3"/>
  <c r="AA19" i="3"/>
  <c r="AC51" i="2"/>
  <c r="AA13" i="46"/>
  <c r="AA26" i="46" s="1"/>
  <c r="G40" i="46" s="1"/>
  <c r="AE8" i="3"/>
  <c r="AC9" i="47"/>
  <c r="AC25" i="47" s="1"/>
  <c r="AB17" i="3"/>
  <c r="AB18" i="3" s="1"/>
  <c r="Z10" i="47"/>
  <c r="Z26" i="47" s="1"/>
  <c r="Z29" i="3"/>
  <c r="X14" i="47"/>
  <c r="X30" i="47" s="1"/>
  <c r="AC13" i="3"/>
  <c r="AA6" i="47"/>
  <c r="AA22" i="47" s="1"/>
  <c r="G38" i="47" s="1"/>
  <c r="AD50" i="2"/>
  <c r="AF14" i="5"/>
  <c r="AF13" i="5" s="1"/>
  <c r="AG40" i="5"/>
  <c r="AG41" i="5"/>
  <c r="AG43" i="5"/>
  <c r="AH36" i="5"/>
  <c r="AH37" i="5" s="1"/>
  <c r="AI35" i="5" s="1"/>
  <c r="AE46" i="2"/>
  <c r="AC12" i="46" s="1"/>
  <c r="AC25" i="46" s="1"/>
  <c r="Z20" i="3" l="1"/>
  <c r="AB19" i="3"/>
  <c r="X15" i="47"/>
  <c r="X31" i="47" s="1"/>
  <c r="AA29" i="3"/>
  <c r="Y15" i="47" s="1"/>
  <c r="Y31" i="47" s="1"/>
  <c r="Y16" i="47"/>
  <c r="Y32" i="47" s="1"/>
  <c r="Z31" i="3"/>
  <c r="AB28" i="3"/>
  <c r="AB30" i="3" s="1"/>
  <c r="Z12" i="47"/>
  <c r="Z28" i="47" s="1"/>
  <c r="AD51" i="2"/>
  <c r="AB13" i="46"/>
  <c r="AB26" i="46" s="1"/>
  <c r="AE13" i="3"/>
  <c r="AC6" i="47"/>
  <c r="AC22" i="47" s="1"/>
  <c r="AC17" i="3"/>
  <c r="AA10" i="47"/>
  <c r="AA26" i="47" s="1"/>
  <c r="G42" i="47" s="1"/>
  <c r="AD13" i="3"/>
  <c r="AB6" i="47"/>
  <c r="AB22" i="47" s="1"/>
  <c r="AE50" i="2"/>
  <c r="AF47" i="2"/>
  <c r="AF11" i="3" s="1"/>
  <c r="AH41" i="5"/>
  <c r="AH40" i="5"/>
  <c r="AH43" i="5"/>
  <c r="AG39" i="5"/>
  <c r="AG45" i="5" s="1"/>
  <c r="AG46" i="5" s="1"/>
  <c r="AG15" i="5"/>
  <c r="AG48" i="2" s="1"/>
  <c r="Z16" i="47" l="1"/>
  <c r="Z32" i="47" s="1"/>
  <c r="AA31" i="3"/>
  <c r="AC28" i="3"/>
  <c r="AA12" i="47"/>
  <c r="AA28" i="47" s="1"/>
  <c r="G44" i="47" s="1"/>
  <c r="AE17" i="3"/>
  <c r="AC10" i="47"/>
  <c r="AC26" i="47" s="1"/>
  <c r="AA20" i="3"/>
  <c r="AC19" i="3"/>
  <c r="AF8" i="3"/>
  <c r="AD9" i="47"/>
  <c r="AD25" i="47" s="1"/>
  <c r="AE51" i="2"/>
  <c r="AC13" i="46"/>
  <c r="AC26" i="46" s="1"/>
  <c r="AD17" i="3"/>
  <c r="AB10" i="47"/>
  <c r="AB26" i="47" s="1"/>
  <c r="AB29" i="3"/>
  <c r="Z15" i="47" s="1"/>
  <c r="Z31" i="47" s="1"/>
  <c r="Z14" i="47"/>
  <c r="Z30" i="47" s="1"/>
  <c r="AC18" i="3"/>
  <c r="AF46" i="2"/>
  <c r="AD12" i="46" s="1"/>
  <c r="AD25" i="46" s="1"/>
  <c r="AH39" i="5"/>
  <c r="AH45" i="5" s="1"/>
  <c r="AH46" i="5" s="1"/>
  <c r="AG14" i="5"/>
  <c r="AG13" i="5" s="1"/>
  <c r="AH15" i="5"/>
  <c r="AH48" i="2" s="1"/>
  <c r="AD28" i="3" l="1"/>
  <c r="AB12" i="47"/>
  <c r="AB28" i="47" s="1"/>
  <c r="AE28" i="3"/>
  <c r="AC14" i="47" s="1"/>
  <c r="AC30" i="47" s="1"/>
  <c r="AC12" i="47"/>
  <c r="AC28" i="47" s="1"/>
  <c r="AC29" i="3"/>
  <c r="AA15" i="47" s="1"/>
  <c r="AA31" i="47" s="1"/>
  <c r="G47" i="47" s="1"/>
  <c r="AA14" i="47"/>
  <c r="AA30" i="47" s="1"/>
  <c r="G46" i="47" s="1"/>
  <c r="AD18" i="3"/>
  <c r="AE18" i="3" s="1"/>
  <c r="AF13" i="3"/>
  <c r="AD6" i="47"/>
  <c r="AD22" i="47" s="1"/>
  <c r="AC30" i="3"/>
  <c r="AB20" i="3"/>
  <c r="AD19" i="3"/>
  <c r="AF50" i="2"/>
  <c r="AH14" i="5"/>
  <c r="AH13" i="5" s="1"/>
  <c r="BW4" i="45" s="1" a="1"/>
  <c r="AG47" i="2"/>
  <c r="AF17" i="3" l="1"/>
  <c r="AF18" i="3" s="1"/>
  <c r="AD10" i="47"/>
  <c r="AD26" i="47" s="1"/>
  <c r="AF51" i="2"/>
  <c r="AD13" i="46"/>
  <c r="AD26" i="46" s="1"/>
  <c r="AA16" i="47"/>
  <c r="AA32" i="47" s="1"/>
  <c r="G48" i="47" s="1"/>
  <c r="AD30" i="3"/>
  <c r="AB31" i="3"/>
  <c r="BW4" i="45"/>
  <c r="CA4" i="45" s="1"/>
  <c r="AE19" i="3"/>
  <c r="AC20" i="3"/>
  <c r="AD29" i="3"/>
  <c r="AB14" i="47"/>
  <c r="AB30" i="47" s="1"/>
  <c r="AG46" i="2"/>
  <c r="AE12" i="46" s="1"/>
  <c r="AE25" i="46" s="1"/>
  <c r="AG11" i="3"/>
  <c r="AH47" i="2"/>
  <c r="AB16" i="47" l="1"/>
  <c r="AB32" i="47" s="1"/>
  <c r="AE30" i="3"/>
  <c r="AC31" i="3"/>
  <c r="AF19" i="3"/>
  <c r="AE20" i="3" s="1"/>
  <c r="AD20" i="3"/>
  <c r="AG8" i="3"/>
  <c r="AE9" i="47"/>
  <c r="AE25" i="47" s="1"/>
  <c r="AB15" i="47"/>
  <c r="AB31" i="47" s="1"/>
  <c r="AE29" i="3"/>
  <c r="AC15" i="47" s="1"/>
  <c r="AC31" i="47" s="1"/>
  <c r="AF28" i="3"/>
  <c r="AD12" i="47"/>
  <c r="AD28" i="47" s="1"/>
  <c r="AG50" i="2"/>
  <c r="AH46" i="2"/>
  <c r="AH11" i="3"/>
  <c r="AG13" i="3" l="1"/>
  <c r="AE6" i="47"/>
  <c r="AE22" i="47" s="1"/>
  <c r="AF29" i="3"/>
  <c r="AD15" i="47" s="1"/>
  <c r="AD31" i="47" s="1"/>
  <c r="AD14" i="47"/>
  <c r="AD30" i="47" s="1"/>
  <c r="AC16" i="47"/>
  <c r="AC32" i="47" s="1"/>
  <c r="AD31" i="3"/>
  <c r="AF30" i="3"/>
  <c r="AH50" i="2"/>
  <c r="AF13" i="46" s="1"/>
  <c r="AF26" i="46" s="1"/>
  <c r="H40" i="46" s="1"/>
  <c r="AF12" i="46"/>
  <c r="AF25" i="46" s="1"/>
  <c r="H39" i="46" s="1"/>
  <c r="AG51" i="2"/>
  <c r="AE13" i="46"/>
  <c r="AE26" i="46" s="1"/>
  <c r="AH8" i="3"/>
  <c r="AF6" i="47" s="1"/>
  <c r="AF22" i="47" s="1"/>
  <c r="H38" i="47" s="1"/>
  <c r="AF9" i="47"/>
  <c r="AF25" i="47" s="1"/>
  <c r="H41" i="47" s="1"/>
  <c r="AH13" i="3" l="1"/>
  <c r="AF10" i="47" s="1"/>
  <c r="AF26" i="47" s="1"/>
  <c r="H42" i="47" s="1"/>
  <c r="AD16" i="47"/>
  <c r="AD32" i="47" s="1"/>
  <c r="AE31" i="3"/>
  <c r="AG17" i="3"/>
  <c r="AE10" i="47"/>
  <c r="AE26" i="47" s="1"/>
  <c r="AH51" i="2"/>
  <c r="AH17" i="3" l="1"/>
  <c r="AF12" i="47" s="1"/>
  <c r="AF28" i="47" s="1"/>
  <c r="H44" i="47" s="1"/>
  <c r="AE12" i="47"/>
  <c r="AE28" i="47" s="1"/>
  <c r="AG18" i="3"/>
  <c r="AG28" i="3"/>
  <c r="AG19" i="3"/>
  <c r="AH18" i="3" l="1"/>
  <c r="AH28" i="3"/>
  <c r="AE14" i="47"/>
  <c r="AE30" i="47" s="1"/>
  <c r="AG30" i="3"/>
  <c r="AG29" i="3"/>
  <c r="AF20" i="3"/>
  <c r="AH19" i="3"/>
  <c r="AG20" i="3" s="1"/>
  <c r="AI40" i="4"/>
  <c r="AF14" i="47" l="1"/>
  <c r="AF30" i="47" s="1"/>
  <c r="H46" i="47" s="1"/>
  <c r="AI7" i="4"/>
  <c r="AI83" i="4"/>
  <c r="AE16" i="47"/>
  <c r="AE32" i="47" s="1"/>
  <c r="AF31" i="3"/>
  <c r="AH30" i="3"/>
  <c r="AE15" i="47"/>
  <c r="AE31" i="47" s="1"/>
  <c r="AH29" i="3"/>
  <c r="AF15" i="47" s="1"/>
  <c r="AF31" i="47" s="1"/>
  <c r="H47" i="47" s="1"/>
  <c r="AI21" i="5"/>
  <c r="AI8" i="4"/>
  <c r="AI7" i="2"/>
  <c r="AF16" i="47" l="1"/>
  <c r="AF32" i="47" s="1"/>
  <c r="H48" i="47" s="1"/>
  <c r="AG31" i="3"/>
  <c r="AI5" i="2"/>
  <c r="AI26" i="5"/>
  <c r="AI12" i="5" s="1"/>
  <c r="AI15" i="2" s="1"/>
  <c r="AI25" i="5"/>
  <c r="AI11" i="5" s="1"/>
  <c r="AI13" i="2" s="1"/>
  <c r="AI24" i="5"/>
  <c r="AI23" i="5" l="1"/>
  <c r="AI10" i="5"/>
  <c r="AI30" i="2"/>
  <c r="AI16" i="2"/>
  <c r="AI14" i="2"/>
  <c r="AI6" i="3"/>
  <c r="AI5" i="3" s="1"/>
  <c r="AI26" i="2"/>
  <c r="AI9" i="5" l="1"/>
  <c r="AI11" i="2"/>
  <c r="AI12" i="2" s="1"/>
  <c r="AI24" i="2"/>
  <c r="AI10" i="2" l="1"/>
  <c r="AI10" i="3"/>
  <c r="AI9" i="3" l="1"/>
  <c r="AI9" i="2"/>
  <c r="AI20" i="2" l="1"/>
  <c r="AI21" i="2" l="1"/>
  <c r="AI37" i="2"/>
  <c r="AI32" i="2"/>
  <c r="AI33" i="2" s="1"/>
  <c r="AI44" i="2" l="1"/>
  <c r="AI42" i="2"/>
  <c r="V9" i="1"/>
  <c r="AN40" i="4"/>
  <c r="AN83" i="4" s="1"/>
  <c r="AJ40" i="4"/>
  <c r="AL40" i="4"/>
  <c r="AM40" i="4"/>
  <c r="AK40" i="4"/>
  <c r="AK7" i="4" l="1"/>
  <c r="AK83" i="4"/>
  <c r="AL7" i="4"/>
  <c r="AL7" i="2" s="1"/>
  <c r="AL5" i="2" s="1"/>
  <c r="AL83" i="4"/>
  <c r="AM7" i="4"/>
  <c r="AM8" i="4" s="1"/>
  <c r="AM83" i="4"/>
  <c r="AJ7" i="4"/>
  <c r="AJ83" i="4"/>
  <c r="AN7" i="4"/>
  <c r="AN8" i="4" s="1"/>
  <c r="AL21" i="5"/>
  <c r="AI30" i="5"/>
  <c r="AI43" i="2"/>
  <c r="D37" i="4"/>
  <c r="AK8" i="4"/>
  <c r="AK7" i="2"/>
  <c r="AK5" i="2" s="1"/>
  <c r="AK21" i="5"/>
  <c r="AM7" i="2"/>
  <c r="AM5" i="2" s="1"/>
  <c r="AM21" i="5"/>
  <c r="AJ7" i="2"/>
  <c r="AJ8" i="4"/>
  <c r="AJ21" i="5"/>
  <c r="AN11" i="5"/>
  <c r="AN13" i="2" s="1"/>
  <c r="AN12" i="5"/>
  <c r="AN10" i="5"/>
  <c r="AN11" i="2" s="1"/>
  <c r="AL8" i="4" l="1"/>
  <c r="D40" i="4"/>
  <c r="D32" i="4"/>
  <c r="D33" i="4"/>
  <c r="D34" i="4"/>
  <c r="D35" i="4"/>
  <c r="D39" i="4"/>
  <c r="D38" i="4"/>
  <c r="D36" i="4"/>
  <c r="AN7" i="2"/>
  <c r="AN5" i="2" s="1"/>
  <c r="AN26" i="2" s="1"/>
  <c r="AL25" i="5"/>
  <c r="AL11" i="5" s="1"/>
  <c r="AL13" i="2" s="1"/>
  <c r="AL26" i="5"/>
  <c r="AL12" i="5" s="1"/>
  <c r="AL15" i="2" s="1"/>
  <c r="AL16" i="2" s="1"/>
  <c r="AL24" i="5"/>
  <c r="AL10" i="5" s="1"/>
  <c r="AL11" i="2" s="1"/>
  <c r="AL12" i="2" s="1"/>
  <c r="AI32" i="5"/>
  <c r="AN9" i="5"/>
  <c r="AN15" i="2"/>
  <c r="AN10" i="2" s="1"/>
  <c r="AM30" i="2"/>
  <c r="AM26" i="2"/>
  <c r="AM6" i="3"/>
  <c r="AM5" i="3" s="1"/>
  <c r="AJ24" i="5"/>
  <c r="AJ10" i="5" s="1"/>
  <c r="AJ26" i="5"/>
  <c r="AJ12" i="5" s="1"/>
  <c r="AJ15" i="2" s="1"/>
  <c r="AJ25" i="5"/>
  <c r="AJ11" i="5" s="1"/>
  <c r="AJ13" i="2" s="1"/>
  <c r="AJ5" i="2"/>
  <c r="AM24" i="5"/>
  <c r="AM10" i="5" s="1"/>
  <c r="AM11" i="2" s="1"/>
  <c r="AM12" i="2" s="1"/>
  <c r="AM26" i="5"/>
  <c r="AM12" i="5" s="1"/>
  <c r="AM25" i="5"/>
  <c r="AM11" i="5" s="1"/>
  <c r="AM13" i="2" s="1"/>
  <c r="AM14" i="2" s="1"/>
  <c r="AK24" i="5"/>
  <c r="AK10" i="5" s="1"/>
  <c r="AK26" i="5"/>
  <c r="AK12" i="5" s="1"/>
  <c r="AK15" i="2" s="1"/>
  <c r="AK16" i="2" s="1"/>
  <c r="AK25" i="5"/>
  <c r="AK11" i="5" s="1"/>
  <c r="AK13" i="2" s="1"/>
  <c r="AK14" i="2" s="1"/>
  <c r="AK26" i="2"/>
  <c r="AK30" i="2"/>
  <c r="AK6" i="3"/>
  <c r="AK5" i="3" s="1"/>
  <c r="AL6" i="3"/>
  <c r="AL5" i="3" s="1"/>
  <c r="AL30" i="2"/>
  <c r="AL14" i="2"/>
  <c r="AL26" i="2"/>
  <c r="AN14" i="2" l="1"/>
  <c r="AN12" i="2"/>
  <c r="AN16" i="2"/>
  <c r="AN6" i="3"/>
  <c r="AN5" i="3" s="1"/>
  <c r="AN30" i="2"/>
  <c r="D7" i="2"/>
  <c r="D5" i="2" s="1"/>
  <c r="AL9" i="5"/>
  <c r="AL23" i="5"/>
  <c r="AL10" i="2"/>
  <c r="AL9" i="3" s="1"/>
  <c r="AL24" i="2"/>
  <c r="AL10" i="3" s="1"/>
  <c r="AI36" i="5"/>
  <c r="AI40" i="5" s="1"/>
  <c r="AN10" i="3"/>
  <c r="AN9" i="3"/>
  <c r="AN9" i="2"/>
  <c r="AN20" i="2" s="1"/>
  <c r="AN21" i="2" s="1"/>
  <c r="D13" i="2"/>
  <c r="AM9" i="5"/>
  <c r="AM15" i="2"/>
  <c r="AM16" i="2" s="1"/>
  <c r="AJ9" i="5"/>
  <c r="AJ11" i="2"/>
  <c r="AJ12" i="2" s="1"/>
  <c r="AM24" i="2"/>
  <c r="AM10" i="3" s="1"/>
  <c r="AK9" i="5"/>
  <c r="AK11" i="2"/>
  <c r="AK12" i="2" s="1"/>
  <c r="AJ30" i="2"/>
  <c r="AJ16" i="2"/>
  <c r="AJ6" i="3"/>
  <c r="AJ5" i="3" s="1"/>
  <c r="AJ14" i="2"/>
  <c r="AJ26" i="2"/>
  <c r="D26" i="2" s="1"/>
  <c r="AM23" i="5"/>
  <c r="AK24" i="2"/>
  <c r="AK10" i="3" s="1"/>
  <c r="AJ23" i="5"/>
  <c r="AK23" i="5"/>
  <c r="C10" i="5" l="1"/>
  <c r="C11" i="5" s="1"/>
  <c r="D30" i="2"/>
  <c r="G8" i="1"/>
  <c r="AL9" i="2"/>
  <c r="AL20" i="2" s="1"/>
  <c r="AL21" i="2" s="1"/>
  <c r="AN37" i="2"/>
  <c r="AN42" i="2" s="1"/>
  <c r="AN43" i="2" s="1"/>
  <c r="AI43" i="5"/>
  <c r="AI15" i="5" s="1"/>
  <c r="AI48" i="2" s="1"/>
  <c r="AI37" i="5"/>
  <c r="AJ35" i="5" s="1"/>
  <c r="AI41" i="5"/>
  <c r="AI39" i="5" s="1"/>
  <c r="AN32" i="2"/>
  <c r="AN33" i="2" s="1"/>
  <c r="AK10" i="2"/>
  <c r="AK9" i="2" s="1"/>
  <c r="AK20" i="2" s="1"/>
  <c r="AK21" i="2" s="1"/>
  <c r="AM10" i="2"/>
  <c r="AM9" i="2" s="1"/>
  <c r="AM20" i="2" s="1"/>
  <c r="D15" i="2"/>
  <c r="D16" i="2" s="1"/>
  <c r="AJ10" i="2"/>
  <c r="D11" i="2"/>
  <c r="D12" i="2" s="1"/>
  <c r="AJ24" i="2"/>
  <c r="A22" i="2"/>
  <c r="D5" i="3"/>
  <c r="D14" i="2"/>
  <c r="AL37" i="2" l="1"/>
  <c r="AL42" i="2" s="1"/>
  <c r="AL30" i="5" s="1"/>
  <c r="AL32" i="5" s="1"/>
  <c r="AL32" i="2"/>
  <c r="AL33" i="2" s="1"/>
  <c r="AK9" i="3"/>
  <c r="AM9" i="3"/>
  <c r="AI45" i="5"/>
  <c r="AI46" i="5" s="1"/>
  <c r="AI14" i="5"/>
  <c r="AI47" i="2" s="1"/>
  <c r="AI11" i="3" s="1"/>
  <c r="AI8" i="3" s="1"/>
  <c r="AI13" i="3" s="1"/>
  <c r="AI17" i="3" s="1"/>
  <c r="AK37" i="2"/>
  <c r="AK42" i="2" s="1"/>
  <c r="AK43" i="2" s="1"/>
  <c r="AK32" i="2"/>
  <c r="AK33" i="2" s="1"/>
  <c r="AJ9" i="2"/>
  <c r="AJ9" i="3"/>
  <c r="D10" i="2"/>
  <c r="G12" i="1" s="1"/>
  <c r="AM32" i="2"/>
  <c r="AM33" i="2" s="1"/>
  <c r="AM21" i="2"/>
  <c r="AM37" i="2"/>
  <c r="AJ10" i="3"/>
  <c r="D24" i="2"/>
  <c r="G10" i="1" s="1"/>
  <c r="AL43" i="2" l="1"/>
  <c r="AL44" i="2"/>
  <c r="AI46" i="2"/>
  <c r="AI13" i="5"/>
  <c r="AK44" i="2"/>
  <c r="AM42" i="2"/>
  <c r="AM44" i="2"/>
  <c r="AK30" i="5"/>
  <c r="AK32" i="5" s="1"/>
  <c r="D9" i="2"/>
  <c r="AJ20" i="2"/>
  <c r="AI28" i="3"/>
  <c r="AI18" i="3"/>
  <c r="AI19" i="3"/>
  <c r="AH20" i="3" s="1"/>
  <c r="AI50" i="2" l="1"/>
  <c r="AI51" i="2" s="1"/>
  <c r="AI29" i="3"/>
  <c r="AI30" i="3"/>
  <c r="AH31" i="3" s="1"/>
  <c r="AJ21" i="2"/>
  <c r="D20" i="2"/>
  <c r="D21" i="2" s="1"/>
  <c r="AJ37" i="2"/>
  <c r="AJ32" i="2"/>
  <c r="AM30" i="5"/>
  <c r="AM32" i="5" s="1"/>
  <c r="AM43" i="2"/>
  <c r="AN48" i="2" l="1"/>
  <c r="AJ33" i="2"/>
  <c r="D32" i="2"/>
  <c r="D33" i="2" s="1"/>
  <c r="AJ44" i="2"/>
  <c r="AJ42" i="2"/>
  <c r="D37" i="2"/>
  <c r="D42" i="2" l="1"/>
  <c r="AJ30" i="5"/>
  <c r="AJ43" i="2"/>
  <c r="AN47" i="2"/>
  <c r="AJ32" i="5" l="1"/>
  <c r="AN11" i="3"/>
  <c r="AN8" i="3" s="1"/>
  <c r="AN13" i="3" s="1"/>
  <c r="AN17" i="3" s="1"/>
  <c r="AN28" i="3" s="1"/>
  <c r="AN46" i="2"/>
  <c r="AN50" i="2" l="1"/>
  <c r="AN51" i="2" s="1"/>
  <c r="AJ36" i="5"/>
  <c r="AJ37" i="5" s="1"/>
  <c r="AK35" i="5" s="1"/>
  <c r="AJ40" i="5" l="1"/>
  <c r="AJ43" i="5"/>
  <c r="AJ15" i="5" s="1"/>
  <c r="AJ48" i="2" s="1"/>
  <c r="AJ41" i="5"/>
  <c r="AK36" i="5"/>
  <c r="AJ39" i="5" l="1"/>
  <c r="AJ14" i="5" s="1"/>
  <c r="AK37" i="5"/>
  <c r="AL35" i="5" s="1"/>
  <c r="AL36" i="5" s="1"/>
  <c r="AK41" i="5"/>
  <c r="AK40" i="5"/>
  <c r="AK43" i="5"/>
  <c r="AK15" i="5" s="1"/>
  <c r="AK48" i="2" s="1"/>
  <c r="AJ45" i="5" l="1"/>
  <c r="AJ46" i="5" s="1"/>
  <c r="AJ13" i="5"/>
  <c r="AJ47" i="2"/>
  <c r="AJ11" i="3" s="1"/>
  <c r="AJ8" i="3" s="1"/>
  <c r="AJ13" i="3" s="1"/>
  <c r="AJ17" i="3" s="1"/>
  <c r="AK39" i="5"/>
  <c r="AK14" i="5" s="1"/>
  <c r="AK13" i="5" s="1"/>
  <c r="AL37" i="5"/>
  <c r="AM35" i="5" s="1"/>
  <c r="AM36" i="5" s="1"/>
  <c r="AL41" i="5"/>
  <c r="AL43" i="5"/>
  <c r="AL15" i="5" s="1"/>
  <c r="AL48" i="2" s="1"/>
  <c r="AL40" i="5"/>
  <c r="AJ46" i="2" l="1"/>
  <c r="AK47" i="2"/>
  <c r="AK11" i="3" s="1"/>
  <c r="AK8" i="3" s="1"/>
  <c r="AK45" i="5"/>
  <c r="AK46" i="5" s="1"/>
  <c r="AL39" i="5"/>
  <c r="AL14" i="5" s="1"/>
  <c r="AL47" i="2" s="1"/>
  <c r="AL11" i="3" s="1"/>
  <c r="AL8" i="3" s="1"/>
  <c r="AL13" i="3" s="1"/>
  <c r="AL17" i="3" s="1"/>
  <c r="AL28" i="3" s="1"/>
  <c r="AM41" i="5"/>
  <c r="AM43" i="5"/>
  <c r="AM40" i="5"/>
  <c r="AM37" i="5"/>
  <c r="AJ18" i="3"/>
  <c r="AJ19" i="3"/>
  <c r="AJ28" i="3"/>
  <c r="AJ50" i="2" l="1"/>
  <c r="AJ51" i="2" s="1"/>
  <c r="AK46" i="2"/>
  <c r="AK50" i="2" s="1"/>
  <c r="AL46" i="2"/>
  <c r="AL45" i="5"/>
  <c r="AL46" i="5" s="1"/>
  <c r="AM39" i="5"/>
  <c r="AM45" i="5" s="1"/>
  <c r="AM46" i="5" s="1"/>
  <c r="AL13" i="5"/>
  <c r="AM15" i="5"/>
  <c r="AM48" i="2" s="1"/>
  <c r="D48" i="2" s="1"/>
  <c r="AK13" i="3"/>
  <c r="AK17" i="3" s="1"/>
  <c r="AK28" i="3" s="1"/>
  <c r="AJ29" i="3"/>
  <c r="AJ30" i="3"/>
  <c r="AI20" i="3"/>
  <c r="AL50" i="2" l="1"/>
  <c r="AL51" i="2" s="1"/>
  <c r="AK19" i="3"/>
  <c r="AL19" i="3" s="1"/>
  <c r="AM14" i="5"/>
  <c r="AM47" i="2" s="1"/>
  <c r="AM46" i="2" s="1"/>
  <c r="AM50" i="2" s="1"/>
  <c r="AK18" i="3"/>
  <c r="AL18" i="3" s="1"/>
  <c r="AK29" i="3"/>
  <c r="AL29" i="3" s="1"/>
  <c r="AK51" i="2"/>
  <c r="AI31" i="3"/>
  <c r="AK30" i="3"/>
  <c r="AJ20" i="3" l="1"/>
  <c r="AM13" i="5"/>
  <c r="D47" i="2"/>
  <c r="AM11" i="3"/>
  <c r="D46" i="2"/>
  <c r="G13" i="1" s="1"/>
  <c r="AJ31" i="3"/>
  <c r="AL30" i="3"/>
  <c r="AK20" i="3"/>
  <c r="AM8" i="3" l="1"/>
  <c r="AM13" i="3" s="1"/>
  <c r="AK31" i="3"/>
  <c r="AM51" i="2"/>
  <c r="D50" i="2"/>
  <c r="D51" i="2" s="1"/>
  <c r="D8" i="3" l="1"/>
  <c r="AM17" i="3"/>
  <c r="G5" i="1" s="1"/>
  <c r="G4" i="1" l="1"/>
  <c r="AM28" i="3"/>
  <c r="G6" i="1" s="1"/>
  <c r="AM19" i="3"/>
  <c r="AM18" i="3"/>
  <c r="AN18" i="3" s="1"/>
  <c r="AN19" i="3" l="1"/>
  <c r="AL20" i="3"/>
  <c r="AM29" i="3"/>
  <c r="AN29" i="3" s="1"/>
  <c r="AM30" i="3"/>
  <c r="AN30" i="3" l="1"/>
  <c r="AL31" i="3"/>
  <c r="AN20" i="3"/>
  <c r="AM20" i="3"/>
  <c r="AM31" i="3" l="1"/>
  <c r="AN31" i="3"/>
  <c r="CG34" i="45" s="1"/>
  <c r="CA33" i="45" s="1"/>
  <c r="CA32" i="45" s="1"/>
  <c r="CA31" i="45" s="1"/>
  <c r="CA30" i="45" s="1"/>
  <c r="CA29" i="45" s="1"/>
  <c r="CA28" i="45" s="1"/>
  <c r="CA27" i="45" s="1"/>
  <c r="CA26" i="45" s="1"/>
  <c r="CA25" i="45" s="1"/>
  <c r="CA24" i="45" s="1"/>
  <c r="CA23" i="45" s="1"/>
  <c r="CA22" i="45" s="1"/>
  <c r="CA21" i="45" s="1"/>
  <c r="CA20" i="45" s="1"/>
  <c r="CA19" i="45" s="1"/>
  <c r="CA18" i="45" s="1"/>
  <c r="CA17" i="45" s="1"/>
  <c r="CA16" i="45" s="1"/>
  <c r="CA15" i="45" s="1"/>
  <c r="CA14" i="45" s="1"/>
  <c r="CA13" i="45" s="1"/>
  <c r="CA12" i="45" s="1"/>
  <c r="CA11" i="45" s="1"/>
  <c r="CA10" i="45" s="1"/>
  <c r="CA9" i="45" s="1"/>
  <c r="CA8" i="45" s="1"/>
  <c r="CA7" i="45" s="1"/>
  <c r="CA6" i="45" s="1"/>
  <c r="CA5" i="45" s="1"/>
  <c r="BS33" i="45" s="1"/>
  <c r="BS32" i="45" s="1"/>
  <c r="BS31" i="45" s="1"/>
  <c r="BS30" i="45" s="1"/>
  <c r="BS29" i="45" s="1"/>
  <c r="BS28" i="45" s="1"/>
  <c r="BS27" i="45" s="1"/>
  <c r="BS26" i="45" s="1"/>
  <c r="BS25" i="45" s="1"/>
  <c r="BS24" i="45" s="1"/>
  <c r="BS23" i="45" s="1"/>
  <c r="BS22" i="45" s="1"/>
  <c r="BS21" i="45" s="1"/>
  <c r="BS20" i="45" s="1"/>
  <c r="BS19" i="45" s="1"/>
  <c r="BS18" i="45" s="1"/>
  <c r="BS17" i="45" s="1"/>
  <c r="BS16" i="45" s="1"/>
  <c r="BS15" i="45" s="1"/>
  <c r="BS14" i="45" s="1"/>
  <c r="BS13" i="45" s="1"/>
  <c r="BS12" i="45" s="1"/>
  <c r="BS11" i="45" s="1"/>
  <c r="BS10" i="45" s="1"/>
  <c r="BS9" i="45" s="1"/>
  <c r="BS8" i="45" s="1"/>
  <c r="BS7" i="45" s="1"/>
  <c r="BS6" i="45" s="1"/>
  <c r="BS5" i="45" s="1"/>
  <c r="BB33" i="45" s="1"/>
  <c r="BG33" i="45" s="1"/>
  <c r="BA33" i="45" s="1"/>
  <c r="AZ33" i="45" s="1"/>
  <c r="AY33" i="45" s="1"/>
  <c r="BI33" i="45" s="1"/>
  <c r="AX33" i="45" s="1"/>
  <c r="BH33" i="45" s="1"/>
  <c r="AW33" i="45" s="1"/>
  <c r="AV33" i="45" s="1"/>
  <c r="BF33" i="45" s="1"/>
  <c r="AU33" i="45" s="1"/>
  <c r="AT33" i="45" s="1"/>
  <c r="AS33" i="45" s="1"/>
  <c r="AR33" i="45" s="1"/>
  <c r="AQ33" i="45" s="1"/>
  <c r="AP33" i="45" s="1"/>
  <c r="AO33" i="45" s="1"/>
  <c r="AN33" i="45" s="1"/>
  <c r="AM33" i="45" s="1"/>
  <c r="AL33" i="45" s="1"/>
  <c r="AK33" i="45" s="1"/>
  <c r="AJ33" i="45" s="1"/>
  <c r="BB32" i="45" s="1"/>
  <c r="BG32" i="45" s="1"/>
  <c r="BA32" i="45" s="1"/>
  <c r="AZ32" i="45" s="1"/>
  <c r="AY32" i="45" s="1"/>
  <c r="BI32" i="45" s="1"/>
  <c r="AX32" i="45" s="1"/>
  <c r="BH32" i="45" s="1"/>
  <c r="AW32" i="45" s="1"/>
  <c r="AV32" i="45" s="1"/>
  <c r="BF32" i="45" s="1"/>
  <c r="AU32" i="45" s="1"/>
  <c r="AT32" i="45" s="1"/>
  <c r="AS32" i="45" s="1"/>
  <c r="AR32" i="45" s="1"/>
  <c r="AQ32" i="45" s="1"/>
  <c r="AP32" i="45" s="1"/>
  <c r="AO32" i="45" s="1"/>
  <c r="AN32" i="45" s="1"/>
  <c r="AM32" i="45" s="1"/>
  <c r="AL32" i="45" s="1"/>
  <c r="AK32" i="45" s="1"/>
  <c r="AJ32" i="45" s="1"/>
  <c r="BB31" i="45" s="1"/>
  <c r="BG31" i="45" s="1"/>
  <c r="BA31" i="45" s="1"/>
  <c r="AZ31" i="45" s="1"/>
  <c r="AY31" i="45" s="1"/>
  <c r="BI31" i="45" s="1"/>
  <c r="AX31" i="45" s="1"/>
  <c r="BH31" i="45" s="1"/>
  <c r="AW31" i="45" s="1"/>
  <c r="AV31" i="45" s="1"/>
  <c r="BF31" i="45" s="1"/>
  <c r="AU31" i="45" s="1"/>
  <c r="AT31" i="45" s="1"/>
  <c r="AS31" i="45" s="1"/>
  <c r="AR31" i="45" s="1"/>
  <c r="AQ31" i="45" s="1"/>
  <c r="AP31" i="45" s="1"/>
  <c r="AO31" i="45" s="1"/>
  <c r="AN31" i="45" s="1"/>
  <c r="AM31" i="45" s="1"/>
  <c r="AL31" i="45" s="1"/>
  <c r="AK31" i="45" s="1"/>
  <c r="AJ31" i="45" s="1"/>
  <c r="BB30" i="45" s="1"/>
  <c r="BG30" i="45" s="1"/>
  <c r="BA30" i="45" s="1"/>
  <c r="AZ30" i="45" s="1"/>
  <c r="AY30" i="45" s="1"/>
  <c r="BI30" i="45" s="1"/>
  <c r="AX30" i="45" s="1"/>
  <c r="BH30" i="45" s="1"/>
  <c r="AW30" i="45" s="1"/>
  <c r="AV30" i="45" s="1"/>
  <c r="BF30" i="45" s="1"/>
  <c r="AU30" i="45" s="1"/>
  <c r="AT30" i="45" s="1"/>
  <c r="AS30" i="45" s="1"/>
  <c r="AR30" i="45" s="1"/>
  <c r="AQ30" i="45" s="1"/>
  <c r="AP30" i="45" s="1"/>
  <c r="AO30" i="45" s="1"/>
  <c r="AN30" i="45" s="1"/>
  <c r="AM30" i="45" s="1"/>
  <c r="AL30" i="45" s="1"/>
  <c r="AK30" i="45" s="1"/>
  <c r="AJ30" i="45" s="1"/>
  <c r="BB29" i="45" s="1"/>
  <c r="BG29" i="45" s="1"/>
  <c r="BA29" i="45" s="1"/>
  <c r="AZ29" i="45" s="1"/>
  <c r="AY29" i="45" s="1"/>
  <c r="BI29" i="45" s="1"/>
  <c r="AX29" i="45" s="1"/>
  <c r="BH29" i="45" s="1"/>
  <c r="AW29" i="45" s="1"/>
  <c r="AV29" i="45" s="1"/>
  <c r="BF29" i="45" s="1"/>
  <c r="AU29" i="45" s="1"/>
  <c r="AT29" i="45" s="1"/>
  <c r="AS29" i="45" s="1"/>
  <c r="AR29" i="45" s="1"/>
  <c r="AQ29" i="45" s="1"/>
  <c r="AP29" i="45" s="1"/>
  <c r="AO29" i="45" s="1"/>
  <c r="AN29" i="45" s="1"/>
  <c r="AM29" i="45" s="1"/>
  <c r="AL29" i="45" s="1"/>
  <c r="AK29" i="45" s="1"/>
  <c r="AJ29" i="45" s="1"/>
  <c r="BB28" i="45" s="1"/>
  <c r="BG28" i="45" s="1"/>
  <c r="BA28" i="45" s="1"/>
  <c r="AZ28" i="45" s="1"/>
  <c r="AY28" i="45" s="1"/>
  <c r="BI28" i="45" s="1"/>
  <c r="AX28" i="45" s="1"/>
  <c r="BH28" i="45" s="1"/>
  <c r="AW28" i="45" s="1"/>
  <c r="AV28" i="45" s="1"/>
  <c r="BF28" i="45" s="1"/>
  <c r="AU28" i="45" s="1"/>
  <c r="AT28" i="45" s="1"/>
  <c r="AS28" i="45" s="1"/>
  <c r="AR28" i="45" s="1"/>
  <c r="AQ28" i="45" s="1"/>
  <c r="AP28" i="45" s="1"/>
  <c r="AO28" i="45" s="1"/>
  <c r="AN28" i="45" s="1"/>
  <c r="AM28" i="45" s="1"/>
  <c r="AL28" i="45" s="1"/>
  <c r="AK28" i="45" s="1"/>
  <c r="AJ28" i="45" s="1"/>
  <c r="BB27" i="45" s="1"/>
  <c r="BG27" i="45" s="1"/>
  <c r="BA27" i="45" s="1"/>
  <c r="AZ27" i="45" s="1"/>
  <c r="AY27" i="45" s="1"/>
  <c r="BI27" i="45" s="1"/>
  <c r="AX27" i="45" s="1"/>
  <c r="BH27" i="45" s="1"/>
  <c r="AW27" i="45" s="1"/>
  <c r="AV27" i="45" s="1"/>
  <c r="BF27" i="45" s="1"/>
  <c r="AU27" i="45" s="1"/>
  <c r="AT27" i="45" s="1"/>
  <c r="AS27" i="45" s="1"/>
  <c r="AR27" i="45" s="1"/>
  <c r="AQ27" i="45" s="1"/>
  <c r="AP27" i="45" s="1"/>
  <c r="AO27" i="45" s="1"/>
  <c r="AN27" i="45" s="1"/>
  <c r="AM27" i="45" s="1"/>
  <c r="AL27" i="45" s="1"/>
  <c r="AK27" i="45" s="1"/>
  <c r="AJ27" i="45" s="1"/>
  <c r="BB26" i="45" s="1"/>
  <c r="BG26" i="45" s="1"/>
  <c r="BA26" i="45" s="1"/>
  <c r="AZ26" i="45" s="1"/>
  <c r="AY26" i="45" s="1"/>
  <c r="BI26" i="45" s="1"/>
  <c r="AX26" i="45" s="1"/>
  <c r="BH26" i="45" s="1"/>
  <c r="AW26" i="45" s="1"/>
  <c r="AV26" i="45" s="1"/>
  <c r="BF26" i="45" s="1"/>
  <c r="AU26" i="45" s="1"/>
  <c r="AT26" i="45" s="1"/>
  <c r="AS26" i="45" s="1"/>
  <c r="AR26" i="45" s="1"/>
  <c r="AQ26" i="45" s="1"/>
  <c r="AP26" i="45" s="1"/>
  <c r="AO26" i="45" s="1"/>
  <c r="AN26" i="45" s="1"/>
  <c r="AM26" i="45" s="1"/>
  <c r="AL26" i="45" s="1"/>
  <c r="AK26" i="45" s="1"/>
  <c r="AJ26" i="45" s="1"/>
  <c r="BB25" i="45" s="1"/>
  <c r="BG25" i="45" s="1"/>
  <c r="BA25" i="45" s="1"/>
  <c r="AZ25" i="45" s="1"/>
  <c r="AY25" i="45" s="1"/>
  <c r="BI25" i="45" s="1"/>
  <c r="AX25" i="45" s="1"/>
  <c r="BH25" i="45" s="1"/>
  <c r="AW25" i="45" s="1"/>
  <c r="AV25" i="45" s="1"/>
  <c r="BF25" i="45" s="1"/>
  <c r="AU25" i="45" s="1"/>
  <c r="AT25" i="45" s="1"/>
  <c r="AS25" i="45" s="1"/>
  <c r="AR25" i="45" s="1"/>
  <c r="AQ25" i="45" s="1"/>
  <c r="AP25" i="45" s="1"/>
  <c r="AO25" i="45" s="1"/>
  <c r="AN25" i="45" s="1"/>
  <c r="AM25" i="45" s="1"/>
  <c r="AL25" i="45" s="1"/>
  <c r="AK25" i="45" s="1"/>
  <c r="AJ25" i="45" s="1"/>
  <c r="BB24" i="45" s="1"/>
  <c r="BG24" i="45" s="1"/>
  <c r="BA24" i="45" s="1"/>
  <c r="AZ24" i="45" s="1"/>
  <c r="AY24" i="45" s="1"/>
  <c r="BI24" i="45" s="1"/>
  <c r="AX24" i="45" s="1"/>
  <c r="BH24" i="45" s="1"/>
  <c r="AW24" i="45" s="1"/>
  <c r="AV24" i="45" s="1"/>
  <c r="BF24" i="45" s="1"/>
  <c r="AU24" i="45" s="1"/>
  <c r="AT24" i="45" s="1"/>
  <c r="AS24" i="45" s="1"/>
  <c r="AR24" i="45" s="1"/>
  <c r="AQ24" i="45" s="1"/>
  <c r="AP24" i="45" s="1"/>
  <c r="AO24" i="45" s="1"/>
  <c r="AN24" i="45" s="1"/>
  <c r="AM24" i="45" s="1"/>
  <c r="AL24" i="45" s="1"/>
  <c r="AK24" i="45" s="1"/>
  <c r="AJ24" i="45" s="1"/>
  <c r="BB23" i="45" s="1"/>
  <c r="BG23" i="45" s="1"/>
  <c r="BA23" i="45" s="1"/>
  <c r="AZ23" i="45" s="1"/>
  <c r="AY23" i="45" s="1"/>
  <c r="BI23" i="45" s="1"/>
  <c r="AX23" i="45" s="1"/>
  <c r="BH23" i="45" s="1"/>
  <c r="AW23" i="45" s="1"/>
  <c r="AV23" i="45" s="1"/>
  <c r="BF23" i="45" s="1"/>
  <c r="AU23" i="45" s="1"/>
  <c r="AT23" i="45" s="1"/>
  <c r="AS23" i="45" s="1"/>
  <c r="AR23" i="45" s="1"/>
  <c r="AQ23" i="45" s="1"/>
  <c r="AP23" i="45" s="1"/>
  <c r="AO23" i="45" s="1"/>
  <c r="AN23" i="45" s="1"/>
  <c r="AM23" i="45" s="1"/>
  <c r="AL23" i="45" s="1"/>
  <c r="AK23" i="45" s="1"/>
  <c r="AJ23" i="45" s="1"/>
  <c r="BB22" i="45" s="1"/>
  <c r="BG22" i="45" s="1"/>
  <c r="BA22" i="45" s="1"/>
  <c r="AZ22" i="45" s="1"/>
  <c r="AY22" i="45" s="1"/>
  <c r="BI22" i="45" s="1"/>
  <c r="AX22" i="45" s="1"/>
  <c r="BH22" i="45" s="1"/>
  <c r="AW22" i="45" s="1"/>
  <c r="AV22" i="45" s="1"/>
  <c r="BF22" i="45" s="1"/>
  <c r="AU22" i="45" s="1"/>
  <c r="AT22" i="45" s="1"/>
  <c r="AS22" i="45" s="1"/>
  <c r="AR22" i="45" s="1"/>
  <c r="AQ22" i="45" s="1"/>
  <c r="AP22" i="45" s="1"/>
  <c r="AO22" i="45" s="1"/>
  <c r="AN22" i="45" s="1"/>
  <c r="AM22" i="45" s="1"/>
  <c r="AL22" i="45" s="1"/>
  <c r="AK22" i="45" s="1"/>
  <c r="AJ22" i="45" s="1"/>
  <c r="BB21" i="45" s="1"/>
  <c r="BG21" i="45" s="1"/>
  <c r="BA21" i="45" s="1"/>
  <c r="AZ21" i="45" s="1"/>
  <c r="AY21" i="45" s="1"/>
  <c r="BI21" i="45" s="1"/>
  <c r="AX21" i="45" s="1"/>
  <c r="BH21" i="45" s="1"/>
  <c r="AW21" i="45" s="1"/>
  <c r="AV21" i="45" s="1"/>
  <c r="BF21" i="45" s="1"/>
  <c r="AU21" i="45" s="1"/>
  <c r="AT21" i="45" s="1"/>
  <c r="AS21" i="45" s="1"/>
  <c r="AR21" i="45" s="1"/>
  <c r="AQ21" i="45" s="1"/>
  <c r="AP21" i="45" s="1"/>
  <c r="AO21" i="45" s="1"/>
  <c r="AN21" i="45" s="1"/>
  <c r="AM21" i="45" s="1"/>
  <c r="AL21" i="45" s="1"/>
  <c r="AK21" i="45" s="1"/>
  <c r="AJ21" i="45" s="1"/>
  <c r="BB20" i="45" s="1"/>
  <c r="BG20" i="45" s="1"/>
  <c r="BA20" i="45" s="1"/>
  <c r="AZ20" i="45" s="1"/>
  <c r="AY20" i="45" s="1"/>
  <c r="BI20" i="45" s="1"/>
  <c r="AX20" i="45" s="1"/>
  <c r="BH20" i="45" s="1"/>
  <c r="AW20" i="45" s="1"/>
  <c r="AV20" i="45" s="1"/>
  <c r="BF20" i="45" s="1"/>
  <c r="AU20" i="45" s="1"/>
  <c r="AT20" i="45" s="1"/>
  <c r="AS20" i="45" s="1"/>
  <c r="AR20" i="45" s="1"/>
  <c r="AQ20" i="45" s="1"/>
  <c r="AP20" i="45" s="1"/>
  <c r="AO20" i="45" s="1"/>
  <c r="AN20" i="45" s="1"/>
  <c r="AM20" i="45" s="1"/>
  <c r="AL20" i="45" s="1"/>
  <c r="AK20" i="45" s="1"/>
  <c r="AJ20" i="45" s="1"/>
  <c r="BB19" i="45" s="1"/>
  <c r="BG19" i="45" s="1"/>
  <c r="BA19" i="45" s="1"/>
  <c r="AZ19" i="45" s="1"/>
  <c r="AY19" i="45" s="1"/>
  <c r="BI19" i="45" s="1"/>
  <c r="AX19" i="45" s="1"/>
  <c r="BH19" i="45" s="1"/>
  <c r="AW19" i="45" s="1"/>
  <c r="AV19" i="45" s="1"/>
  <c r="BF19" i="45" s="1"/>
  <c r="AU19" i="45" s="1"/>
  <c r="AT19" i="45" s="1"/>
  <c r="AS19" i="45" s="1"/>
  <c r="AR19" i="45" s="1"/>
  <c r="AQ19" i="45" s="1"/>
  <c r="AP19" i="45" s="1"/>
  <c r="AO19" i="45" s="1"/>
  <c r="AN19" i="45" s="1"/>
  <c r="AM19" i="45" s="1"/>
  <c r="AL19" i="45" s="1"/>
  <c r="AK19" i="45" s="1"/>
  <c r="AJ19" i="45" s="1"/>
  <c r="BB18" i="45" s="1"/>
  <c r="BG18" i="45" s="1"/>
  <c r="BA18" i="45" s="1"/>
  <c r="AZ18" i="45" s="1"/>
  <c r="AY18" i="45" s="1"/>
  <c r="BI18" i="45" s="1"/>
  <c r="AX18" i="45" s="1"/>
  <c r="BH18" i="45" s="1"/>
  <c r="AW18" i="45" s="1"/>
  <c r="AV18" i="45" s="1"/>
  <c r="BF18" i="45" s="1"/>
  <c r="AU18" i="45" s="1"/>
  <c r="AT18" i="45" s="1"/>
  <c r="AS18" i="45" s="1"/>
  <c r="AR18" i="45" s="1"/>
  <c r="AQ18" i="45" s="1"/>
  <c r="AP18" i="45" s="1"/>
  <c r="AO18" i="45" s="1"/>
  <c r="AN18" i="45" s="1"/>
  <c r="AM18" i="45" s="1"/>
  <c r="AL18" i="45" s="1"/>
  <c r="AK18" i="45" s="1"/>
  <c r="AJ18" i="45" s="1"/>
  <c r="BB17" i="45" s="1"/>
  <c r="BG17" i="45" s="1"/>
  <c r="BA17" i="45" s="1"/>
  <c r="AZ17" i="45" s="1"/>
  <c r="AY17" i="45" s="1"/>
  <c r="BI17" i="45" s="1"/>
  <c r="AX17" i="45" s="1"/>
  <c r="BH17" i="45" s="1"/>
  <c r="AW17" i="45" s="1"/>
  <c r="AV17" i="45" s="1"/>
  <c r="BF17" i="45" s="1"/>
  <c r="AU17" i="45" s="1"/>
  <c r="AT17" i="45" s="1"/>
  <c r="AS17" i="45" s="1"/>
  <c r="AR17" i="45" s="1"/>
  <c r="AQ17" i="45" s="1"/>
  <c r="AP17" i="45" s="1"/>
  <c r="AO17" i="45" s="1"/>
  <c r="AN17" i="45" s="1"/>
  <c r="AM17" i="45" s="1"/>
  <c r="AL17" i="45" s="1"/>
  <c r="AK17" i="45" s="1"/>
  <c r="AJ17" i="45" s="1"/>
  <c r="BB16" i="45" s="1"/>
  <c r="BG16" i="45" s="1"/>
  <c r="BA16" i="45" s="1"/>
  <c r="AZ16" i="45" s="1"/>
  <c r="AY16" i="45" s="1"/>
  <c r="BI16" i="45" s="1"/>
  <c r="AX16" i="45" s="1"/>
  <c r="BH16" i="45" s="1"/>
  <c r="AW16" i="45" s="1"/>
  <c r="AV16" i="45" s="1"/>
  <c r="BF16" i="45" s="1"/>
  <c r="AU16" i="45" s="1"/>
  <c r="AT16" i="45" s="1"/>
  <c r="AS16" i="45" s="1"/>
  <c r="AR16" i="45" s="1"/>
  <c r="AQ16" i="45" s="1"/>
  <c r="AP16" i="45" s="1"/>
  <c r="AO16" i="45" s="1"/>
  <c r="AN16" i="45" s="1"/>
  <c r="AM16" i="45" s="1"/>
  <c r="AL16" i="45" s="1"/>
  <c r="AK16" i="45" s="1"/>
  <c r="AJ16" i="45" s="1"/>
  <c r="BB15" i="45" s="1"/>
  <c r="BG15" i="45" s="1"/>
  <c r="BA15" i="45" s="1"/>
  <c r="AZ15" i="45" s="1"/>
  <c r="AY15" i="45" s="1"/>
  <c r="BI15" i="45" s="1"/>
  <c r="AX15" i="45" s="1"/>
  <c r="BH15" i="45" s="1"/>
  <c r="AW15" i="45" s="1"/>
  <c r="AV15" i="45" s="1"/>
  <c r="BF15" i="45" s="1"/>
  <c r="AU15" i="45" s="1"/>
  <c r="AT15" i="45" s="1"/>
  <c r="AS15" i="45" s="1"/>
  <c r="AR15" i="45" s="1"/>
  <c r="AQ15" i="45" s="1"/>
  <c r="AP15" i="45" s="1"/>
  <c r="AO15" i="45" s="1"/>
  <c r="AN15" i="45" s="1"/>
  <c r="AM15" i="45" s="1"/>
  <c r="AL15" i="45" s="1"/>
  <c r="AK15" i="45" s="1"/>
  <c r="AJ15" i="45" s="1"/>
  <c r="BB14" i="45" s="1"/>
  <c r="BG14" i="45" s="1"/>
  <c r="BA14" i="45" s="1"/>
  <c r="AZ14" i="45" s="1"/>
  <c r="AY14" i="45" s="1"/>
  <c r="BI14" i="45" s="1"/>
  <c r="AX14" i="45" s="1"/>
  <c r="BH14" i="45" s="1"/>
  <c r="AW14" i="45" s="1"/>
  <c r="AV14" i="45" s="1"/>
  <c r="BF14" i="45" s="1"/>
  <c r="AU14" i="45" s="1"/>
  <c r="AT14" i="45" s="1"/>
  <c r="AS14" i="45" s="1"/>
  <c r="AR14" i="45" s="1"/>
  <c r="AQ14" i="45" s="1"/>
  <c r="AP14" i="45" s="1"/>
  <c r="AO14" i="45" s="1"/>
  <c r="AN14" i="45" s="1"/>
  <c r="AM14" i="45" s="1"/>
  <c r="AL14" i="45" s="1"/>
  <c r="AK14" i="45" s="1"/>
  <c r="AJ14" i="45" s="1"/>
  <c r="BB13" i="45" s="1"/>
  <c r="BG13" i="45" s="1"/>
  <c r="BA13" i="45" s="1"/>
  <c r="AZ13" i="45" s="1"/>
  <c r="AY13" i="45" s="1"/>
  <c r="BI13" i="45" s="1"/>
  <c r="AX13" i="45" s="1"/>
  <c r="BH13" i="45" s="1"/>
  <c r="AW13" i="45" s="1"/>
  <c r="AV13" i="45" s="1"/>
  <c r="BF13" i="45" s="1"/>
  <c r="AU13" i="45" s="1"/>
  <c r="AT13" i="45" s="1"/>
  <c r="AS13" i="45" s="1"/>
  <c r="AR13" i="45" s="1"/>
  <c r="AQ13" i="45" s="1"/>
  <c r="AP13" i="45" s="1"/>
  <c r="AO13" i="45" s="1"/>
  <c r="AN13" i="45" s="1"/>
  <c r="AM13" i="45" s="1"/>
  <c r="AL13" i="45" s="1"/>
  <c r="AK13" i="45" s="1"/>
  <c r="AJ13" i="45" s="1"/>
  <c r="BB12" i="45" s="1"/>
  <c r="BG12" i="45" s="1"/>
  <c r="BA12" i="45" s="1"/>
  <c r="AZ12" i="45" s="1"/>
  <c r="AY12" i="45" s="1"/>
  <c r="BI12" i="45" s="1"/>
  <c r="AX12" i="45" s="1"/>
  <c r="BH12" i="45" s="1"/>
  <c r="AW12" i="45" s="1"/>
  <c r="AV12" i="45" s="1"/>
  <c r="BF12" i="45" s="1"/>
  <c r="AU12" i="45" s="1"/>
  <c r="AT12" i="45" s="1"/>
  <c r="AS12" i="45" s="1"/>
  <c r="AR12" i="45" s="1"/>
  <c r="AQ12" i="45" s="1"/>
  <c r="AP12" i="45" s="1"/>
  <c r="AO12" i="45" s="1"/>
  <c r="AN12" i="45" s="1"/>
  <c r="AM12" i="45" s="1"/>
  <c r="AL12" i="45" s="1"/>
  <c r="AK12" i="45" s="1"/>
  <c r="AJ12" i="45" s="1"/>
  <c r="BB11" i="45" s="1"/>
  <c r="BG11" i="45" s="1"/>
  <c r="BA11" i="45" s="1"/>
  <c r="AZ11" i="45" s="1"/>
  <c r="AY11" i="45" s="1"/>
  <c r="BI11" i="45" s="1"/>
  <c r="AX11" i="45" s="1"/>
  <c r="BH11" i="45" s="1"/>
  <c r="AW11" i="45" s="1"/>
  <c r="AV11" i="45" s="1"/>
  <c r="BF11" i="45" s="1"/>
  <c r="AU11" i="45" s="1"/>
  <c r="AT11" i="45" s="1"/>
  <c r="AS11" i="45" s="1"/>
  <c r="AR11" i="45" s="1"/>
  <c r="AQ11" i="45" s="1"/>
  <c r="AP11" i="45" s="1"/>
  <c r="AO11" i="45" s="1"/>
  <c r="AN11" i="45" s="1"/>
  <c r="AM11" i="45" s="1"/>
  <c r="AL11" i="45" s="1"/>
  <c r="AK11" i="45" s="1"/>
  <c r="AJ11" i="45" s="1"/>
  <c r="BB10" i="45" s="1"/>
  <c r="BG10" i="45" s="1"/>
  <c r="BA10" i="45" s="1"/>
  <c r="AZ10" i="45" s="1"/>
  <c r="AY10" i="45" s="1"/>
  <c r="BI10" i="45" s="1"/>
  <c r="AX10" i="45" s="1"/>
  <c r="BH10" i="45" s="1"/>
  <c r="AW10" i="45" s="1"/>
  <c r="AV10" i="45" s="1"/>
  <c r="BF10" i="45" s="1"/>
  <c r="AU10" i="45" s="1"/>
  <c r="AT10" i="45" s="1"/>
  <c r="AS10" i="45" s="1"/>
  <c r="AR10" i="45" s="1"/>
  <c r="AQ10" i="45" s="1"/>
  <c r="AP10" i="45" s="1"/>
  <c r="AO10" i="45" s="1"/>
  <c r="AN10" i="45" s="1"/>
  <c r="AM10" i="45" s="1"/>
  <c r="AL10" i="45" s="1"/>
  <c r="AK10" i="45" s="1"/>
  <c r="AJ10" i="45" s="1"/>
  <c r="BB9" i="45" s="1"/>
  <c r="BG9" i="45" s="1"/>
  <c r="BA9" i="45" s="1"/>
  <c r="AZ9" i="45" s="1"/>
  <c r="AY9" i="45" s="1"/>
  <c r="BI9" i="45" s="1"/>
  <c r="AX9" i="45" s="1"/>
  <c r="BH9" i="45" s="1"/>
  <c r="AW9" i="45" s="1"/>
  <c r="AV9" i="45" s="1"/>
  <c r="BF9" i="45" s="1"/>
  <c r="AU9" i="45" s="1"/>
  <c r="AT9" i="45" s="1"/>
  <c r="AS9" i="45" s="1"/>
  <c r="AR9" i="45" s="1"/>
  <c r="AQ9" i="45" s="1"/>
  <c r="AP9" i="45" s="1"/>
  <c r="AO9" i="45" s="1"/>
  <c r="AN9" i="45" s="1"/>
  <c r="AM9" i="45" s="1"/>
  <c r="AL9" i="45" s="1"/>
  <c r="AK9" i="45" s="1"/>
  <c r="AJ9" i="45" s="1"/>
  <c r="BB8" i="45" s="1"/>
  <c r="BG8" i="45" s="1"/>
  <c r="BA8" i="45" s="1"/>
  <c r="AZ8" i="45" s="1"/>
  <c r="AY8" i="45" s="1"/>
  <c r="BI8" i="45" s="1"/>
  <c r="AX8" i="45" s="1"/>
  <c r="BH8" i="45" s="1"/>
  <c r="AW8" i="45" s="1"/>
  <c r="AV8" i="45" s="1"/>
  <c r="BF8" i="45" s="1"/>
  <c r="AU8" i="45" s="1"/>
  <c r="AT8" i="45" s="1"/>
  <c r="AS8" i="45" s="1"/>
  <c r="AR8" i="45" s="1"/>
  <c r="AQ8" i="45" s="1"/>
  <c r="AP8" i="45" s="1"/>
  <c r="AO8" i="45" s="1"/>
  <c r="AN8" i="45" s="1"/>
  <c r="AM8" i="45" s="1"/>
  <c r="AL8" i="45" s="1"/>
  <c r="AK8" i="45" s="1"/>
  <c r="AJ8" i="45" s="1"/>
  <c r="BB7" i="45" s="1"/>
  <c r="BG7" i="45" s="1"/>
  <c r="BA7" i="45" s="1"/>
  <c r="AZ7" i="45" s="1"/>
  <c r="AY7" i="45" s="1"/>
  <c r="BI7" i="45" s="1"/>
  <c r="AX7" i="45" s="1"/>
  <c r="BH7" i="45" s="1"/>
  <c r="AW7" i="45" s="1"/>
  <c r="AV7" i="45" s="1"/>
  <c r="BF7" i="45" s="1"/>
  <c r="AU7" i="45" s="1"/>
  <c r="AT7" i="45" s="1"/>
  <c r="AS7" i="45" s="1"/>
  <c r="AR7" i="45" s="1"/>
  <c r="AQ7" i="45" s="1"/>
  <c r="AP7" i="45" s="1"/>
  <c r="AO7" i="45" s="1"/>
  <c r="AN7" i="45" s="1"/>
  <c r="AM7" i="45" s="1"/>
  <c r="AL7" i="45" s="1"/>
  <c r="AK7" i="45" s="1"/>
  <c r="AJ7" i="45" s="1"/>
  <c r="BB6" i="45" s="1"/>
  <c r="BG6" i="45" s="1"/>
  <c r="BA6" i="45" s="1"/>
  <c r="AZ6" i="45" s="1"/>
  <c r="AY6" i="45" s="1"/>
  <c r="BI6" i="45" s="1"/>
  <c r="AX6" i="45" s="1"/>
  <c r="BH6" i="45" s="1"/>
  <c r="AW6" i="45" s="1"/>
  <c r="AV6" i="45" s="1"/>
  <c r="BF6" i="45" s="1"/>
  <c r="AU6" i="45" s="1"/>
  <c r="AT6" i="45" s="1"/>
  <c r="AS6" i="45" s="1"/>
  <c r="AR6" i="45" s="1"/>
  <c r="AQ6" i="45" s="1"/>
  <c r="AP6" i="45" s="1"/>
  <c r="AO6" i="45" s="1"/>
  <c r="AN6" i="45" s="1"/>
  <c r="AM6" i="45" s="1"/>
  <c r="AL6" i="45" s="1"/>
  <c r="AK6" i="45" s="1"/>
  <c r="AJ6" i="45" s="1"/>
  <c r="BB5" i="45" s="1"/>
  <c r="BG5" i="45" s="1"/>
  <c r="BA5" i="45" s="1"/>
  <c r="AZ5" i="45" s="1"/>
  <c r="AY5" i="45" s="1"/>
  <c r="BI5" i="45" s="1"/>
  <c r="AX5" i="45" s="1"/>
  <c r="BH5" i="45" s="1"/>
  <c r="AW5" i="45" s="1"/>
  <c r="AV5" i="45" s="1"/>
  <c r="BF5" i="45" s="1"/>
  <c r="AU5" i="45" s="1"/>
  <c r="AT5" i="45" s="1"/>
  <c r="AS5" i="45" s="1"/>
  <c r="AR5" i="45" s="1"/>
  <c r="AQ5" i="45" s="1"/>
  <c r="AP5" i="45" s="1"/>
  <c r="AO5" i="45" s="1"/>
  <c r="AN5" i="45" s="1"/>
  <c r="AM5" i="45" s="1"/>
  <c r="AL5" i="45" s="1"/>
  <c r="AK5" i="45" s="1"/>
  <c r="AJ5" i="45" s="1"/>
  <c r="BB4" i="45" s="1"/>
  <c r="BG4" i="45" s="1"/>
  <c r="BA4" i="45" s="1"/>
  <c r="AZ4" i="45" s="1"/>
  <c r="AY4" i="45" s="1"/>
  <c r="BI4" i="45" s="1"/>
  <c r="AX4" i="45" s="1"/>
  <c r="BH4" i="45" s="1"/>
  <c r="AW4" i="45" s="1"/>
  <c r="AV4" i="45" s="1"/>
  <c r="BF4" i="45" s="1"/>
  <c r="AU4" i="45" s="1"/>
  <c r="AT4" i="45" s="1"/>
  <c r="AS4" i="45" s="1"/>
  <c r="AR4" i="45" s="1"/>
  <c r="AQ4" i="45" s="1"/>
  <c r="AP4" i="45" s="1"/>
  <c r="AO4" i="45" s="1"/>
  <c r="AN4" i="45" s="1"/>
  <c r="AM4" i="45" s="1"/>
  <c r="AL4" i="45" s="1"/>
  <c r="AK4" i="45" s="1"/>
  <c r="J33" i="45" s="1"/>
  <c r="I33" i="45" s="1"/>
  <c r="H33" i="45" s="1"/>
  <c r="K33" i="45" s="1"/>
  <c r="J32" i="45" s="1"/>
  <c r="I32" i="45" s="1"/>
  <c r="H32" i="45" s="1"/>
  <c r="J31" i="45" s="1"/>
  <c r="I31" i="45" s="1"/>
  <c r="H31" i="45" s="1"/>
  <c r="K31" i="45" s="1"/>
  <c r="J30" i="45" s="1"/>
  <c r="I30" i="45" s="1"/>
  <c r="H30" i="45" s="1"/>
  <c r="K30" i="45" s="1"/>
  <c r="J29" i="45" s="1"/>
  <c r="I29" i="45" s="1"/>
  <c r="H29" i="45" s="1"/>
  <c r="K29" i="45" s="1"/>
  <c r="J28" i="45" s="1"/>
  <c r="I28" i="45" s="1"/>
  <c r="H28" i="45" s="1"/>
  <c r="J27" i="45" s="1"/>
  <c r="I27" i="45" s="1"/>
  <c r="H27" i="45" s="1"/>
  <c r="K27" i="45" s="1"/>
  <c r="J26" i="45" s="1"/>
  <c r="I26" i="45" s="1"/>
  <c r="H26" i="45" s="1"/>
  <c r="K26" i="45" s="1"/>
  <c r="J25" i="45" s="1"/>
  <c r="I25" i="45" s="1"/>
  <c r="H25" i="45" s="1"/>
  <c r="K25" i="45" s="1"/>
  <c r="J24" i="45" s="1"/>
  <c r="I24" i="45" s="1"/>
  <c r="H24" i="45" s="1"/>
  <c r="J23" i="45" s="1"/>
  <c r="I23" i="45" s="1"/>
  <c r="H23" i="45" s="1"/>
  <c r="K23" i="45" s="1"/>
  <c r="J22" i="45" s="1"/>
  <c r="I22" i="45" s="1"/>
  <c r="H22" i="45" s="1"/>
  <c r="K22" i="45" s="1"/>
  <c r="J21" i="45" s="1"/>
  <c r="I21" i="45" s="1"/>
  <c r="H21" i="45" s="1"/>
  <c r="K21" i="45" s="1"/>
  <c r="J20" i="45" s="1"/>
  <c r="I20" i="45" s="1"/>
  <c r="H20" i="45" s="1"/>
  <c r="J19" i="45" s="1"/>
  <c r="I19" i="45" s="1"/>
  <c r="H19" i="45" s="1"/>
  <c r="K19" i="45" s="1"/>
  <c r="J18" i="45" s="1"/>
  <c r="I18" i="45" s="1"/>
  <c r="H18" i="45" s="1"/>
  <c r="K18" i="45" s="1"/>
  <c r="J17" i="45" s="1"/>
  <c r="I17" i="45" s="1"/>
  <c r="H17" i="45" s="1"/>
  <c r="K17" i="45" s="1"/>
  <c r="J16" i="45" s="1"/>
  <c r="I16" i="45" s="1"/>
  <c r="H16" i="45" s="1"/>
  <c r="J15" i="45" s="1"/>
  <c r="I15" i="45" s="1"/>
  <c r="H15" i="45" s="1"/>
  <c r="K15" i="45" s="1"/>
  <c r="J14" i="45" s="1"/>
  <c r="I14" i="45" s="1"/>
  <c r="H14" i="45" s="1"/>
  <c r="K14" i="45" s="1"/>
  <c r="J13" i="45" s="1"/>
  <c r="I13" i="45" s="1"/>
  <c r="H13" i="45" s="1"/>
  <c r="K13" i="45" s="1"/>
  <c r="J12" i="45" s="1"/>
  <c r="I12" i="45" s="1"/>
  <c r="H12" i="45" s="1"/>
  <c r="J11" i="45" s="1"/>
  <c r="I11" i="45" s="1"/>
  <c r="H11" i="45" s="1"/>
  <c r="K11" i="45" s="1"/>
  <c r="J10" i="45" s="1"/>
  <c r="I10" i="45" s="1"/>
  <c r="H10" i="45" s="1"/>
  <c r="K10" i="45" s="1"/>
  <c r="J9" i="45" s="1"/>
  <c r="I9" i="45" s="1"/>
  <c r="H9" i="45" s="1"/>
  <c r="K9" i="45" s="1"/>
  <c r="J8" i="45" s="1"/>
  <c r="I8" i="45" s="1"/>
  <c r="H8" i="45" s="1"/>
  <c r="J7" i="45" s="1"/>
  <c r="I7" i="45" s="1"/>
  <c r="H7" i="45" s="1"/>
  <c r="K7" i="45" s="1"/>
  <c r="J6" i="45" s="1"/>
  <c r="I6" i="45" s="1"/>
  <c r="H6" i="45" s="1"/>
  <c r="K6" i="45" s="1"/>
  <c r="J5" i="45" s="1"/>
  <c r="I5" i="45" s="1"/>
  <c r="H5" i="45" s="1"/>
  <c r="K5" i="45" s="1"/>
  <c r="J4" i="45" s="1"/>
  <c r="I4" i="45" s="1"/>
  <c r="BC33" i="45" l="1"/>
  <c r="BJ31" i="45"/>
  <c r="BK31" i="45" s="1"/>
  <c r="BC31" i="45"/>
  <c r="BJ19" i="45"/>
  <c r="BK19" i="45" s="1"/>
  <c r="BC19" i="45"/>
  <c r="N13" i="45"/>
  <c r="AI13" i="45" s="1"/>
  <c r="BE13" i="45" s="1"/>
  <c r="BN13" i="45" s="1"/>
  <c r="BR13" i="45" s="1"/>
  <c r="BV13" i="45" s="1"/>
  <c r="G13" i="45"/>
  <c r="G25" i="45"/>
  <c r="N25" i="45"/>
  <c r="AI25" i="45" s="1"/>
  <c r="BE25" i="45" s="1"/>
  <c r="BN25" i="45" s="1"/>
  <c r="BR25" i="45" s="1"/>
  <c r="BV25" i="45" s="1"/>
  <c r="BC9" i="45"/>
  <c r="BJ9" i="45"/>
  <c r="BK9" i="45" s="1"/>
  <c r="BJ21" i="45"/>
  <c r="BK21" i="45" s="1"/>
  <c r="BC21" i="45"/>
  <c r="BJ33" i="45"/>
  <c r="BK33" i="45" s="1"/>
  <c r="BJ16" i="45"/>
  <c r="BK16" i="45" s="1"/>
  <c r="BC16" i="45"/>
  <c r="BJ28" i="45"/>
  <c r="BK28" i="45" s="1"/>
  <c r="BC28" i="45"/>
  <c r="BJ14" i="45"/>
  <c r="BK14" i="45" s="1"/>
  <c r="BC14" i="45"/>
  <c r="BJ26" i="45"/>
  <c r="BK26" i="45" s="1"/>
  <c r="BC26" i="45"/>
  <c r="BJ11" i="45"/>
  <c r="BK11" i="45" s="1"/>
  <c r="BC11" i="45"/>
  <c r="BJ23" i="45"/>
  <c r="BK23" i="45" s="1"/>
  <c r="BC23" i="45"/>
  <c r="N15" i="45"/>
  <c r="AI15" i="45" s="1"/>
  <c r="BE15" i="45" s="1"/>
  <c r="BN15" i="45" s="1"/>
  <c r="BR15" i="45" s="1"/>
  <c r="BV15" i="45" s="1"/>
  <c r="G15" i="45"/>
  <c r="N27" i="45"/>
  <c r="AI27" i="45" s="1"/>
  <c r="BE27" i="45" s="1"/>
  <c r="BN27" i="45" s="1"/>
  <c r="BR27" i="45" s="1"/>
  <c r="BV27" i="45" s="1"/>
  <c r="G27" i="45"/>
  <c r="BJ6" i="45"/>
  <c r="BC6" i="45"/>
  <c r="BK6" i="45"/>
  <c r="BJ18" i="45"/>
  <c r="BK18" i="45" s="1"/>
  <c r="BC18" i="45"/>
  <c r="BJ30" i="45"/>
  <c r="BK30" i="45" s="1"/>
  <c r="BC30" i="45"/>
  <c r="CH34" i="45"/>
  <c r="G11" i="45"/>
  <c r="N11" i="45"/>
  <c r="AI11" i="45" s="1"/>
  <c r="BE11" i="45" s="1"/>
  <c r="BN11" i="45" s="1"/>
  <c r="BR11" i="45" s="1"/>
  <c r="BV11" i="45" s="1"/>
  <c r="G12" i="45"/>
  <c r="N12" i="45"/>
  <c r="AI12" i="45" s="1"/>
  <c r="BE12" i="45" s="1"/>
  <c r="BN12" i="45" s="1"/>
  <c r="BR12" i="45" s="1"/>
  <c r="BV12" i="45" s="1"/>
  <c r="BJ4" i="45"/>
  <c r="BK4" i="45" s="1"/>
  <c r="CE4" i="45" s="1"/>
  <c r="BC4" i="45"/>
  <c r="G16" i="45"/>
  <c r="N16" i="45"/>
  <c r="AI16" i="45" s="1"/>
  <c r="BE16" i="45" s="1"/>
  <c r="BN16" i="45" s="1"/>
  <c r="BR16" i="45" s="1"/>
  <c r="BV16" i="45" s="1"/>
  <c r="G28" i="45"/>
  <c r="N28" i="45"/>
  <c r="AI28" i="45" s="1"/>
  <c r="BE28" i="45" s="1"/>
  <c r="BN28" i="45" s="1"/>
  <c r="BR28" i="45" s="1"/>
  <c r="BV28" i="45" s="1"/>
  <c r="G5" i="45"/>
  <c r="N5" i="45"/>
  <c r="AI5" i="45" s="1"/>
  <c r="BE5" i="45" s="1"/>
  <c r="BN5" i="45" s="1"/>
  <c r="BR5" i="45" s="1"/>
  <c r="BV5" i="45" s="1"/>
  <c r="G17" i="45"/>
  <c r="N17" i="45"/>
  <c r="AI17" i="45" s="1"/>
  <c r="BE17" i="45" s="1"/>
  <c r="BN17" i="45" s="1"/>
  <c r="BR17" i="45" s="1"/>
  <c r="BV17" i="45" s="1"/>
  <c r="G29" i="45"/>
  <c r="N29" i="45"/>
  <c r="AI29" i="45" s="1"/>
  <c r="BE29" i="45" s="1"/>
  <c r="BN29" i="45" s="1"/>
  <c r="BR29" i="45" s="1"/>
  <c r="BV29" i="45" s="1"/>
  <c r="BJ13" i="45"/>
  <c r="BK13" i="45" s="1"/>
  <c r="BC13" i="45"/>
  <c r="BJ25" i="45"/>
  <c r="BK25" i="45" s="1"/>
  <c r="BC25" i="45"/>
  <c r="G6" i="45"/>
  <c r="N6" i="45"/>
  <c r="AI6" i="45" s="1"/>
  <c r="BE6" i="45" s="1"/>
  <c r="BN6" i="45" s="1"/>
  <c r="BR6" i="45" s="1"/>
  <c r="BV6" i="45" s="1"/>
  <c r="BJ32" i="45"/>
  <c r="BK32" i="45" s="1"/>
  <c r="BC32" i="45"/>
  <c r="CF34" i="45"/>
  <c r="G23" i="45"/>
  <c r="N23" i="45"/>
  <c r="AI23" i="45" s="1"/>
  <c r="BE23" i="45" s="1"/>
  <c r="BN23" i="45" s="1"/>
  <c r="BR23" i="45" s="1"/>
  <c r="BV23" i="45" s="1"/>
  <c r="BJ7" i="45"/>
  <c r="BK7" i="45" s="1"/>
  <c r="BC7" i="45"/>
  <c r="G30" i="45"/>
  <c r="N30" i="45"/>
  <c r="AI30" i="45" s="1"/>
  <c r="BE30" i="45" s="1"/>
  <c r="BN30" i="45" s="1"/>
  <c r="BR30" i="45" s="1"/>
  <c r="BV30" i="45" s="1"/>
  <c r="N31" i="45"/>
  <c r="AI31" i="45" s="1"/>
  <c r="BE31" i="45" s="1"/>
  <c r="BN31" i="45" s="1"/>
  <c r="BR31" i="45" s="1"/>
  <c r="BV31" i="45" s="1"/>
  <c r="G31" i="45"/>
  <c r="BJ15" i="45"/>
  <c r="BK15" i="45" s="1"/>
  <c r="BC15" i="45"/>
  <c r="BJ27" i="45"/>
  <c r="BK27" i="45" s="1"/>
  <c r="BC27" i="45"/>
  <c r="N14" i="45"/>
  <c r="AI14" i="45" s="1"/>
  <c r="BE14" i="45" s="1"/>
  <c r="BN14" i="45" s="1"/>
  <c r="BR14" i="45" s="1"/>
  <c r="BV14" i="45" s="1"/>
  <c r="G14" i="45"/>
  <c r="G18" i="45"/>
  <c r="N18" i="45"/>
  <c r="AI18" i="45" s="1"/>
  <c r="BE18" i="45" s="1"/>
  <c r="BN18" i="45" s="1"/>
  <c r="BR18" i="45" s="1"/>
  <c r="BV18" i="45" s="1"/>
  <c r="BJ20" i="45"/>
  <c r="BK20" i="45" s="1"/>
  <c r="BC20" i="45"/>
  <c r="N8" i="45"/>
  <c r="AI8" i="45" s="1"/>
  <c r="BE8" i="45" s="1"/>
  <c r="BN8" i="45" s="1"/>
  <c r="BR8" i="45" s="1"/>
  <c r="BV8" i="45" s="1"/>
  <c r="G8" i="45"/>
  <c r="BJ10" i="45"/>
  <c r="BK10" i="45" s="1"/>
  <c r="BC10" i="45"/>
  <c r="BJ22" i="45"/>
  <c r="BK22" i="45" s="1"/>
  <c r="BC22" i="45"/>
  <c r="BJ8" i="45"/>
  <c r="BK8" i="45" s="1"/>
  <c r="BC8" i="45"/>
  <c r="N19" i="45"/>
  <c r="AI19" i="45" s="1"/>
  <c r="BE19" i="45" s="1"/>
  <c r="BN19" i="45" s="1"/>
  <c r="BR19" i="45" s="1"/>
  <c r="BV19" i="45" s="1"/>
  <c r="G19" i="45"/>
  <c r="N32" i="45"/>
  <c r="AI32" i="45" s="1"/>
  <c r="BE32" i="45" s="1"/>
  <c r="BN32" i="45" s="1"/>
  <c r="BR32" i="45" s="1"/>
  <c r="BV32" i="45" s="1"/>
  <c r="G32" i="45"/>
  <c r="K8" i="45"/>
  <c r="K16" i="45"/>
  <c r="K24" i="45"/>
  <c r="K32" i="45"/>
  <c r="BJ5" i="45"/>
  <c r="BK5" i="45" s="1"/>
  <c r="BC5" i="45"/>
  <c r="BJ17" i="45"/>
  <c r="BK17" i="45" s="1"/>
  <c r="BC17" i="45"/>
  <c r="BJ29" i="45"/>
  <c r="BK29" i="45" s="1"/>
  <c r="BC29" i="45"/>
  <c r="G24" i="45"/>
  <c r="N24" i="45"/>
  <c r="AI24" i="45" s="1"/>
  <c r="BE24" i="45" s="1"/>
  <c r="BN24" i="45" s="1"/>
  <c r="BR24" i="45" s="1"/>
  <c r="BV24" i="45" s="1"/>
  <c r="G26" i="45"/>
  <c r="N26" i="45"/>
  <c r="AI26" i="45" s="1"/>
  <c r="BE26" i="45" s="1"/>
  <c r="BN26" i="45" s="1"/>
  <c r="BR26" i="45" s="1"/>
  <c r="BV26" i="45" s="1"/>
  <c r="N7" i="45"/>
  <c r="AI7" i="45" s="1"/>
  <c r="BE7" i="45" s="1"/>
  <c r="BN7" i="45" s="1"/>
  <c r="BR7" i="45" s="1"/>
  <c r="BV7" i="45" s="1"/>
  <c r="G7" i="45"/>
  <c r="N20" i="45"/>
  <c r="AI20" i="45" s="1"/>
  <c r="BE20" i="45" s="1"/>
  <c r="BN20" i="45" s="1"/>
  <c r="BR20" i="45" s="1"/>
  <c r="BV20" i="45" s="1"/>
  <c r="G20" i="45"/>
  <c r="N9" i="45"/>
  <c r="AI9" i="45" s="1"/>
  <c r="BE9" i="45" s="1"/>
  <c r="BN9" i="45" s="1"/>
  <c r="BR9" i="45" s="1"/>
  <c r="BV9" i="45" s="1"/>
  <c r="G9" i="45"/>
  <c r="N21" i="45"/>
  <c r="AI21" i="45" s="1"/>
  <c r="BE21" i="45" s="1"/>
  <c r="BN21" i="45" s="1"/>
  <c r="BR21" i="45" s="1"/>
  <c r="BV21" i="45" s="1"/>
  <c r="G21" i="45"/>
  <c r="N33" i="45"/>
  <c r="AI33" i="45" s="1"/>
  <c r="BE33" i="45" s="1"/>
  <c r="BN33" i="45" s="1"/>
  <c r="BR33" i="45" s="1"/>
  <c r="BV33" i="45" s="1"/>
  <c r="G33" i="45"/>
  <c r="K12" i="45"/>
  <c r="K20" i="45"/>
  <c r="K28" i="45"/>
  <c r="N10" i="45"/>
  <c r="AI10" i="45" s="1"/>
  <c r="BE10" i="45" s="1"/>
  <c r="BN10" i="45" s="1"/>
  <c r="BR10" i="45" s="1"/>
  <c r="BV10" i="45" s="1"/>
  <c r="G10" i="45"/>
  <c r="N22" i="45"/>
  <c r="AI22" i="45" s="1"/>
  <c r="BE22" i="45" s="1"/>
  <c r="BN22" i="45" s="1"/>
  <c r="BR22" i="45" s="1"/>
  <c r="BV22" i="45" s="1"/>
  <c r="G22" i="45"/>
  <c r="K4" i="45"/>
  <c r="BJ12" i="45"/>
  <c r="BK12" i="45" s="1"/>
  <c r="BC12" i="45"/>
  <c r="BC24" i="45"/>
  <c r="BJ24" i="45"/>
  <c r="BK24" i="45" s="1"/>
  <c r="CE12" i="45" l="1"/>
  <c r="CD24" i="45"/>
  <c r="BZ24" i="45"/>
  <c r="CD8" i="45"/>
  <c r="BZ8" i="45"/>
  <c r="CD31" i="45"/>
  <c r="BZ31" i="45"/>
  <c r="CD16" i="45"/>
  <c r="BZ16" i="45"/>
  <c r="CE18" i="45"/>
  <c r="CE21" i="45"/>
  <c r="CE24" i="45"/>
  <c r="CD33" i="45"/>
  <c r="BZ33" i="45"/>
  <c r="CD30" i="45"/>
  <c r="BZ30" i="45"/>
  <c r="CE25" i="45"/>
  <c r="CE6" i="45"/>
  <c r="CE26" i="45"/>
  <c r="CE9" i="45"/>
  <c r="CD32" i="45"/>
  <c r="BZ32" i="45"/>
  <c r="CE20" i="45"/>
  <c r="CD21" i="45"/>
  <c r="BZ21" i="45"/>
  <c r="CE29" i="45"/>
  <c r="CD18" i="45"/>
  <c r="BZ18" i="45"/>
  <c r="CE13" i="45"/>
  <c r="CE14" i="45"/>
  <c r="CD25" i="45"/>
  <c r="BZ25" i="45"/>
  <c r="CD19" i="45"/>
  <c r="BZ19" i="45"/>
  <c r="CE7" i="45"/>
  <c r="CD29" i="45"/>
  <c r="BZ29" i="45"/>
  <c r="CD12" i="45"/>
  <c r="BZ12" i="45"/>
  <c r="CE11" i="45"/>
  <c r="CD9" i="45"/>
  <c r="BZ9" i="45"/>
  <c r="CE17" i="45"/>
  <c r="CD23" i="45"/>
  <c r="BZ23" i="45"/>
  <c r="CD27" i="45"/>
  <c r="BZ27" i="45"/>
  <c r="CE28" i="45"/>
  <c r="CD22" i="45"/>
  <c r="BZ22" i="45"/>
  <c r="CE5" i="45"/>
  <c r="CE8" i="45"/>
  <c r="CD14" i="45"/>
  <c r="BZ14" i="45"/>
  <c r="CD17" i="45"/>
  <c r="BZ17" i="45"/>
  <c r="CD11" i="45"/>
  <c r="BZ11" i="45"/>
  <c r="CD13" i="45"/>
  <c r="BZ13" i="45"/>
  <c r="CD20" i="45"/>
  <c r="BZ20" i="45"/>
  <c r="CD15" i="45"/>
  <c r="BZ15" i="45"/>
  <c r="CE16" i="45"/>
  <c r="CD10" i="45"/>
  <c r="BZ10" i="45"/>
  <c r="CE22" i="45"/>
  <c r="CE27" i="45"/>
  <c r="CD5" i="45"/>
  <c r="BZ5" i="45"/>
  <c r="CE19" i="45"/>
  <c r="CD7" i="45"/>
  <c r="BZ7" i="45"/>
  <c r="CE32" i="45"/>
  <c r="CE23" i="45"/>
  <c r="CD26" i="45"/>
  <c r="BZ26" i="45"/>
  <c r="CE10" i="45"/>
  <c r="CE15" i="45"/>
  <c r="CD6" i="45"/>
  <c r="BZ6" i="45"/>
  <c r="CD28" i="45"/>
  <c r="BZ28" i="45"/>
  <c r="CE30" i="45"/>
  <c r="CE33" i="45"/>
  <c r="CE31" i="45"/>
  <c r="CE34" i="4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<sst xmlns="http://schemas.openxmlformats.org/spreadsheetml/2006/main" count="1449" uniqueCount="741">
  <si>
    <t>Dados gerais</t>
  </si>
  <si>
    <t>Resultados</t>
  </si>
  <si>
    <t>Controle dos investimentos</t>
  </si>
  <si>
    <t>Escopo</t>
  </si>
  <si>
    <t>Total/R$ Mil</t>
  </si>
  <si>
    <t>Reinvestimento</t>
  </si>
  <si>
    <t>Controle de OPEX</t>
  </si>
  <si>
    <t>Controle de Receitas</t>
  </si>
  <si>
    <t>Financiamento</t>
  </si>
  <si>
    <t>Início do contrato</t>
  </si>
  <si>
    <t>WACC</t>
  </si>
  <si>
    <t>Linhas</t>
  </si>
  <si>
    <t>LP1</t>
  </si>
  <si>
    <t>Prazo do contrato</t>
  </si>
  <si>
    <t>meses</t>
  </si>
  <si>
    <t>VPL FCF</t>
  </si>
  <si>
    <t>R$ mil</t>
  </si>
  <si>
    <t>Sim</t>
  </si>
  <si>
    <t>Mall</t>
  </si>
  <si>
    <t>anos</t>
  </si>
  <si>
    <t>Taxa Interna de Retorno</t>
  </si>
  <si>
    <t>%</t>
  </si>
  <si>
    <t>Fazendinha</t>
  </si>
  <si>
    <t>Empréstimo de LP</t>
  </si>
  <si>
    <t>Final do contrato</t>
  </si>
  <si>
    <t>TIR do Acionista</t>
  </si>
  <si>
    <t>Charrete</t>
  </si>
  <si>
    <t>% do saldo</t>
  </si>
  <si>
    <t xml:space="preserve">Modelo </t>
  </si>
  <si>
    <t>Moeda const.</t>
  </si>
  <si>
    <t>Ecoterapia</t>
  </si>
  <si>
    <t>Total financiado</t>
  </si>
  <si>
    <t>Regime tributário</t>
  </si>
  <si>
    <t>Lucro Presumido</t>
  </si>
  <si>
    <t>Total de Receitas (sem subsídio)</t>
  </si>
  <si>
    <t>Nucleo de Aventuras</t>
  </si>
  <si>
    <t>Indexador</t>
  </si>
  <si>
    <t>TLP</t>
  </si>
  <si>
    <t>Cenário OPEX</t>
  </si>
  <si>
    <t>Base</t>
  </si>
  <si>
    <t>Total de subsídio</t>
  </si>
  <si>
    <t>Camp Infantil</t>
  </si>
  <si>
    <t>Spread</t>
  </si>
  <si>
    <t>Cenário Receitas</t>
  </si>
  <si>
    <t>Total do OPEX</t>
  </si>
  <si>
    <t>Restaurante</t>
  </si>
  <si>
    <t>Prazo</t>
  </si>
  <si>
    <t>Outorga</t>
  </si>
  <si>
    <t>Total do investimento</t>
  </si>
  <si>
    <t>Centro de Visitantes</t>
  </si>
  <si>
    <t>Multiplicador de Receita - primeiro ano</t>
  </si>
  <si>
    <t>Total dos impostos s/ receita</t>
  </si>
  <si>
    <t>Espaço Multiuso</t>
  </si>
  <si>
    <t>Total das receitas</t>
  </si>
  <si>
    <t>Multiplicador de Receita - segundo ano</t>
  </si>
  <si>
    <t>Total dos impostos s/ lucro</t>
  </si>
  <si>
    <t>Estacionamento</t>
  </si>
  <si>
    <t>Multiplicador CP terceiro ano</t>
  </si>
  <si>
    <t>Kart</t>
  </si>
  <si>
    <t>Outorga Variável</t>
  </si>
  <si>
    <t>Amortização dos ativos</t>
  </si>
  <si>
    <t>Parque de Exposições</t>
  </si>
  <si>
    <t>Subsídio Público</t>
  </si>
  <si>
    <t>SPE</t>
  </si>
  <si>
    <t>mil</t>
  </si>
  <si>
    <t>Seguros</t>
  </si>
  <si>
    <t>% de referência</t>
  </si>
  <si>
    <t>do Capex</t>
  </si>
  <si>
    <t>Taxa de regulação</t>
  </si>
  <si>
    <t>Limpeza</t>
  </si>
  <si>
    <t>Anos</t>
  </si>
  <si>
    <t>Seguros e garantias</t>
  </si>
  <si>
    <t>% do OPEX</t>
  </si>
  <si>
    <t>Manutenção</t>
  </si>
  <si>
    <t>% Ano 1</t>
  </si>
  <si>
    <t>Compartilhamento outros serviços</t>
  </si>
  <si>
    <t>%  da receita</t>
  </si>
  <si>
    <t>Suporte TIC</t>
  </si>
  <si>
    <t>% Ano 2</t>
  </si>
  <si>
    <t>Verificador independente</t>
  </si>
  <si>
    <t>R$</t>
  </si>
  <si>
    <t>Conservação areas verdes</t>
  </si>
  <si>
    <t>Impostos sobre a receita direta - Lucro Real</t>
  </si>
  <si>
    <t xml:space="preserve">Reembolso Estudos </t>
  </si>
  <si>
    <t>Segurança Patrimonial</t>
  </si>
  <si>
    <t>PIS</t>
  </si>
  <si>
    <t>COFINS</t>
  </si>
  <si>
    <t>Total dos investimentos</t>
  </si>
  <si>
    <t>ISS</t>
  </si>
  <si>
    <t>Tributos sobre o Lucro</t>
  </si>
  <si>
    <t>IR</t>
  </si>
  <si>
    <t>% do LAIR</t>
  </si>
  <si>
    <t>Limite para IR adicional</t>
  </si>
  <si>
    <t>IR Adicional</t>
  </si>
  <si>
    <t>CSLL</t>
  </si>
  <si>
    <t>Compensação de prejuízos</t>
  </si>
  <si>
    <t>Cenários</t>
  </si>
  <si>
    <t>% de Subsídio</t>
  </si>
  <si>
    <t>Valor Subsídio</t>
  </si>
  <si>
    <t>Receitas totais sem subsídio (30 anos)</t>
  </si>
  <si>
    <t>Lucro Real - Cenário Base</t>
  </si>
  <si>
    <t>Lucro Presumido - Cenário Base</t>
  </si>
  <si>
    <t>Lucro Real - Cenário Otimista</t>
  </si>
  <si>
    <t>Lucro Presumido - Cenário Otimista</t>
  </si>
  <si>
    <t>Lucro Real - Cenário Pessimista</t>
  </si>
  <si>
    <t>Lucro Presumido - Cenário Pessimista</t>
  </si>
  <si>
    <t>FCF (R$ mil)</t>
  </si>
  <si>
    <t>Ano de Operação</t>
  </si>
  <si>
    <t>% do Ano</t>
  </si>
  <si>
    <t>Ingressos operacionais líquidos</t>
  </si>
  <si>
    <t>Receita do período</t>
  </si>
  <si>
    <t>Inadimplência</t>
  </si>
  <si>
    <t>Saques operacionais</t>
  </si>
  <si>
    <t>Impostos indiretos</t>
  </si>
  <si>
    <t>Custos operacionais</t>
  </si>
  <si>
    <t>Impostos sobre o lucro</t>
  </si>
  <si>
    <t>Fluxo operacional</t>
  </si>
  <si>
    <t>Fluxo de caixa de investimentos</t>
  </si>
  <si>
    <t>Fluxo de caixa de projeto</t>
  </si>
  <si>
    <t>Fluxo de caixa acumulado</t>
  </si>
  <si>
    <t>Fluxo de caixa acumulado - descontado</t>
  </si>
  <si>
    <t>Payback descontado</t>
  </si>
  <si>
    <t>Fluxo de caixa financeiro</t>
  </si>
  <si>
    <t>Captação</t>
  </si>
  <si>
    <t>Amortização</t>
  </si>
  <si>
    <t>Despesas financeiras</t>
  </si>
  <si>
    <t>Tax shield</t>
  </si>
  <si>
    <t>Fluxo de caixa alavancado</t>
  </si>
  <si>
    <t>DRE (R$ mil)</t>
  </si>
  <si>
    <t>Receita bruta</t>
  </si>
  <si>
    <t>Receitas</t>
  </si>
  <si>
    <t>Deduções da Receita Bruta</t>
  </si>
  <si>
    <t>% sobre a receita bruta</t>
  </si>
  <si>
    <t>Receita líquida total</t>
  </si>
  <si>
    <t>% da Receita Bruta</t>
  </si>
  <si>
    <t>Custos e Despesas Operacionais</t>
  </si>
  <si>
    <t>Porcentagem Base da Outorga Variavel</t>
  </si>
  <si>
    <t xml:space="preserve">Outorga Variavel </t>
  </si>
  <si>
    <t>OPEX</t>
  </si>
  <si>
    <t>EBITDA</t>
  </si>
  <si>
    <t>Margem EBITDA (% da Receita Líquida)</t>
  </si>
  <si>
    <t>Amortização do intangível</t>
  </si>
  <si>
    <t>Resultado bruto</t>
  </si>
  <si>
    <t>Resultado Financeiro Líquido</t>
  </si>
  <si>
    <t>Despesas Financeiras - juros</t>
  </si>
  <si>
    <t>Lucro antes de Impostos sobre a Renda</t>
  </si>
  <si>
    <t>% da Receita Líquida</t>
  </si>
  <si>
    <t>Lucro Financeiro antes de Impostos sobre a Renda</t>
  </si>
  <si>
    <t>Impostos sobre a Renda</t>
  </si>
  <si>
    <t>Imposto de Renda</t>
  </si>
  <si>
    <t>Contribuição Social</t>
  </si>
  <si>
    <t>Lucro Líquido</t>
  </si>
  <si>
    <t xml:space="preserve">  . % da Receita Líquida</t>
  </si>
  <si>
    <t>Receitas (R$ mil)</t>
  </si>
  <si>
    <t>RESUMO DAS RECEITAS</t>
  </si>
  <si>
    <t>Total das receitas diretas</t>
  </si>
  <si>
    <t>Inadimplência comercial</t>
  </si>
  <si>
    <t>SUBSÍDIO</t>
  </si>
  <si>
    <t>Total do Subsídio</t>
  </si>
  <si>
    <t>OUTRAS RECEITAS (compartilhadas com Estado)</t>
  </si>
  <si>
    <t>1. Outras receitas</t>
  </si>
  <si>
    <t>2. Outras receitas</t>
  </si>
  <si>
    <t>3. Outras receitas</t>
  </si>
  <si>
    <t>Total de outras receitas</t>
  </si>
  <si>
    <t>Impostos sobre as receitas</t>
  </si>
  <si>
    <t>Compartilhamento com poder concedente</t>
  </si>
  <si>
    <t>Soma</t>
  </si>
  <si>
    <t>RECEITAS - BASE</t>
  </si>
  <si>
    <t>Nucleo aventura</t>
  </si>
  <si>
    <t>Camp infantil</t>
  </si>
  <si>
    <t>Receptivo de visitantes</t>
  </si>
  <si>
    <t xml:space="preserve">Estacionamento </t>
  </si>
  <si>
    <t>Mall de Conveniências</t>
  </si>
  <si>
    <t>Eventos</t>
  </si>
  <si>
    <t>Total de receitas</t>
  </si>
  <si>
    <t>RECEITAS - OTIMISTA</t>
  </si>
  <si>
    <t>RECEITAS - PESSIMISTA</t>
  </si>
  <si>
    <t>Área construída - Parque de Exposições</t>
  </si>
  <si>
    <t>m²</t>
  </si>
  <si>
    <t>Dias de Eventos - Expo</t>
  </si>
  <si>
    <t>dias</t>
  </si>
  <si>
    <t>R$/Área/Base</t>
  </si>
  <si>
    <t>R$/Área/Otimista</t>
  </si>
  <si>
    <t>R$/Área/Pessimista</t>
  </si>
  <si>
    <t>Estrutura de Capital</t>
  </si>
  <si>
    <t>E - % Capital Próprio (Entertainment)</t>
  </si>
  <si>
    <t>Standard Deviations in Equity and Firm Value (nyu.edu)</t>
  </si>
  <si>
    <t>D - % Capital de Terceiros ((Entertainment))</t>
  </si>
  <si>
    <t>D/E</t>
  </si>
  <si>
    <t>Custo do Capital Próprio (CAPM) - EUA</t>
  </si>
  <si>
    <t>Taxa Livre de Risco (USD)</t>
  </si>
  <si>
    <t>Recommended U.S. Equity Risk Premium and Corresponding Risk-Free Rates (kroll.com)</t>
  </si>
  <si>
    <t>Taxa de Retorno Esperada deo Mercado (USD)</t>
  </si>
  <si>
    <t xml:space="preserve">ERP - Prêmio de Risco (USD) </t>
  </si>
  <si>
    <t>Beta Alavancado (EUA)</t>
  </si>
  <si>
    <t>Prêmio de Risco de Negócio e Financeiro (USD)</t>
  </si>
  <si>
    <t>Ke Nominal (USD)</t>
  </si>
  <si>
    <t xml:space="preserve"> Ke real (USD)</t>
  </si>
  <si>
    <t>Prêmio de Risco - Brasil</t>
  </si>
  <si>
    <t xml:space="preserve">   Ke Nominal (BR)</t>
  </si>
  <si>
    <t>Inflação Americana</t>
  </si>
  <si>
    <t xml:space="preserve">   Ke Nominal (Br) - sem inflação EUA</t>
  </si>
  <si>
    <t>Inflação Brasileira</t>
  </si>
  <si>
    <t>diferencial de inflação</t>
  </si>
  <si>
    <t>Ke real (BR)</t>
  </si>
  <si>
    <t>Custo do Capital de Terceiros (BR)</t>
  </si>
  <si>
    <t>TLP (maio de 2024)</t>
  </si>
  <si>
    <t>Remuneração BNDES</t>
  </si>
  <si>
    <t>Risco de Crédito</t>
  </si>
  <si>
    <t>Kd Nominal (pré-tax)</t>
  </si>
  <si>
    <t>Impostos</t>
  </si>
  <si>
    <t>Kd Nominal pós-tax)</t>
  </si>
  <si>
    <t>Kd Real (pós-tax)</t>
  </si>
  <si>
    <t>CAPEX</t>
  </si>
  <si>
    <t>RESUMO DOS INVESTIMENTOS</t>
  </si>
  <si>
    <t>Preço Total</t>
  </si>
  <si>
    <t xml:space="preserve">R$ </t>
  </si>
  <si>
    <t>RESUMO DOS REINVESTIMENTOS</t>
  </si>
  <si>
    <t>Item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</si>
  <si>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</si>
  <si>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</si>
  <si>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</si>
  <si>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</si>
  <si>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</si>
  <si>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</si>
  <si>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</si>
  <si>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</si>
  <si>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</si>
  <si>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</si>
  <si>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</si>
  <si>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</si>
  <si>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Mês 13</t>
  </si>
  <si>
    <t>Mês 14</t>
  </si>
  <si>
    <t>Mês 15</t>
  </si>
  <si>
    <t>Mês 16</t>
  </si>
  <si>
    <t>Mês 17</t>
  </si>
  <si>
    <t>Mês 18</t>
  </si>
  <si>
    <t>Mês 19</t>
  </si>
  <si>
    <t>REFORMA PARQUE</t>
  </si>
  <si>
    <t>Projeto</t>
  </si>
  <si>
    <t xml:space="preserve">Mobilização, desmobilização e instalação de canteiro </t>
  </si>
  <si>
    <t>Execução dos serviços</t>
  </si>
  <si>
    <t>CONSTRUÇÃO DA ETE</t>
  </si>
  <si>
    <t>Estudos de Campo</t>
  </si>
  <si>
    <t>BOLSÕES ESTACIONAMENTO</t>
  </si>
  <si>
    <t>Mobilização e instalação de canteiro</t>
  </si>
  <si>
    <t>OPEN MALL</t>
  </si>
  <si>
    <t>Mobilização, desmobilização e instalação de canteiro</t>
  </si>
  <si>
    <t>PARQUE MOLHADO</t>
  </si>
  <si>
    <t>FAZENDINHA E ATRATIVOS</t>
  </si>
  <si>
    <t>RECEPTIVO E ESPAÇO PARA EVENTOS</t>
  </si>
  <si>
    <t>ORIGEM</t>
  </si>
  <si>
    <t>CÓD</t>
  </si>
  <si>
    <t>DESCRIÇÃO</t>
  </si>
  <si>
    <t>UNIDADE</t>
  </si>
  <si>
    <t>QUANTIDADE</t>
  </si>
  <si>
    <t>CUSTO UNITÁRIO</t>
  </si>
  <si>
    <t>CUSTO TOTAL</t>
  </si>
  <si>
    <t>Execução de ETE</t>
  </si>
  <si>
    <t>Custo baseado em projeto semelhante</t>
  </si>
  <si>
    <t>Vazão (l/s)</t>
  </si>
  <si>
    <t>Reforma Parque de Exposições</t>
  </si>
  <si>
    <t>SINAPI</t>
  </si>
  <si>
    <t>COMP</t>
  </si>
  <si>
    <t>EMASSAMENTO COM MASSA LÁTEX, APLICAÇÃO EM PAREDE, DUAS DEMÃOS, LIXAMENTO MANUAL . AF_04/2023</t>
  </si>
  <si>
    <t>m2</t>
  </si>
  <si>
    <t>PINTURA LÁTEX ACRÍLICA PREMIUM, APLICAÇÃO MANUAL EM PAREDES, DUAS DEMÃOS.. AF_04/2023</t>
  </si>
  <si>
    <t>DEMOLIÇÃO DE ALVENARIA DE TIJOLO MACIÇO DE FORMA MANUAL, COM REAPROVEITAMENTO. AF_09/2023</t>
  </si>
  <si>
    <t>m3</t>
  </si>
  <si>
    <t>DEMOLIÇÃO DE PISO DE CONCRETO SIMPLES, DE FORMA MECANIZADA COM MARTELETE, SEM REAPROVEITAMENTO. AF_09/2023</t>
  </si>
  <si>
    <t>TELHAMENTO COM TELHA CERÂMICA DE ENCAIXE, TIPO PORTUGUESA, COM ATÉ 2 ÁGUAS INCLUSO TRANSPORTE VERTICAL. AF_07/2019</t>
  </si>
  <si>
    <t>COTAÇÃO</t>
  </si>
  <si>
    <t>INSTALAÇÕES HIDRÁULICAS</t>
  </si>
  <si>
    <t>INSTALAÇÕES ELÉTRICAS</t>
  </si>
  <si>
    <t xml:space="preserve">ESCAVAÇÃO HORIZONTAL, INCLUINDO CARGA, DESCARGA E TRANSPORTE EM SOLO DE 1A CATEGORIA COM TRATOR DE ESTEIRAS (100HP/LÂMINA: 2,19M3) E CAMINHÃO BASCULANTE DE 10M3, DMT ATÉ 200M. AF_07/2020 </t>
  </si>
  <si>
    <t>EXECUÇÃO E COMPACTAÇÃO DE BASE E OU SUB BASE PARA PAVIMENTAÇÃO DE BRITA GRADUADA SIMPLES - EXCLUSIVE CARGA E TRANSPORTE. AF_11/2019</t>
  </si>
  <si>
    <t>EQUIPAMENTO PARA ESTACIONAMENTO</t>
  </si>
  <si>
    <t>un</t>
  </si>
  <si>
    <t>Open Mall</t>
  </si>
  <si>
    <t>COMPOSIÇÃO PARAMÉTRICA PARA EXECUÇÃO DE ESTRUTURAS DE CONCRETO ARMADO, PARA EDIFICAÇÃO INSTITUCIONAL TÉRREA, FCK = 25 MPA. AF_11/2022</t>
  </si>
  <si>
    <t>PAISAGISMO</t>
  </si>
  <si>
    <t>Fazendinha e Aventura</t>
  </si>
  <si>
    <t>PLANTIO DE GRAMA BATATAIS EM PLACAS. AF_07/2024</t>
  </si>
  <si>
    <t>CIRCUITO ARBORISMO</t>
  </si>
  <si>
    <t>m</t>
  </si>
  <si>
    <t>TIROLESA</t>
  </si>
  <si>
    <t>Parque Molhado</t>
  </si>
  <si>
    <t>INSTALAÇÕES HIDRÁULICAS COM REAPROVEITAMENTO</t>
  </si>
  <si>
    <t>BRINQUEDOS</t>
  </si>
  <si>
    <t>Receptivo e espaço para eventos</t>
  </si>
  <si>
    <t>Elaboração de Projeto</t>
  </si>
  <si>
    <t>Composição na planilha auxiliar</t>
  </si>
  <si>
    <t>vb</t>
  </si>
  <si>
    <t>Sondagem com ensaio SPT</t>
  </si>
  <si>
    <t>und</t>
  </si>
  <si>
    <t>CT</t>
  </si>
  <si>
    <t>BDI</t>
  </si>
  <si>
    <t>BONIFICAÇÃO E DESPESAS INDIRETAS</t>
  </si>
  <si>
    <t>VT</t>
  </si>
  <si>
    <t>VALOR TOTAL = CT+BDI</t>
  </si>
  <si>
    <t>SERVIÇO</t>
  </si>
  <si>
    <t>QUANT.</t>
  </si>
  <si>
    <t>CUSTO (R$)</t>
  </si>
  <si>
    <t>TOTAL (R$)</t>
  </si>
  <si>
    <t>RECAPEX (R$)</t>
  </si>
  <si>
    <t>PRAZO RECAPEX</t>
  </si>
  <si>
    <t>INSTALAÇÕES</t>
  </si>
  <si>
    <t>Elaboração de projeto</t>
  </si>
  <si>
    <t>un.</t>
  </si>
  <si>
    <t>-</t>
  </si>
  <si>
    <t>Construção ETE</t>
  </si>
  <si>
    <t>10 anos</t>
  </si>
  <si>
    <t>Rede de elétrica</t>
  </si>
  <si>
    <r>
      <t>m</t>
    </r>
    <r>
      <rPr>
        <vertAlign val="superscript"/>
        <sz val="9"/>
        <color rgb="FF000000"/>
        <rFont val="Aptos Narrow"/>
        <family val="2"/>
      </rPr>
      <t>2</t>
    </r>
  </si>
  <si>
    <t>Rede de água</t>
  </si>
  <si>
    <t>Drenagem</t>
  </si>
  <si>
    <t>TOTAL</t>
  </si>
  <si>
    <t>REFORMA DO FUNDO DO TERRENO</t>
  </si>
  <si>
    <t>Instalações elétricas básicas</t>
  </si>
  <si>
    <t>Instalações hidráulicas básicas</t>
  </si>
  <si>
    <t>Reforma das estruturas com reaproveitamento</t>
  </si>
  <si>
    <r>
      <t>BOLSÕES DE ESTACIONAMENTO (56.000 m</t>
    </r>
    <r>
      <rPr>
        <b/>
        <vertAlign val="superscript"/>
        <sz val="11"/>
        <color indexed="8"/>
        <rFont val="Aptos Narrow"/>
        <family val="2"/>
      </rPr>
      <t xml:space="preserve">2 </t>
    </r>
    <r>
      <rPr>
        <b/>
        <sz val="11"/>
        <color indexed="8"/>
        <rFont val="Aptos Narrow"/>
        <family val="2"/>
      </rPr>
      <t>-&gt; 2.200 vagas)</t>
    </r>
  </si>
  <si>
    <t>Serviços preliminares</t>
  </si>
  <si>
    <t xml:space="preserve">Piso de brita </t>
  </si>
  <si>
    <t xml:space="preserve">Equipamentos </t>
  </si>
  <si>
    <t>5 anos</t>
  </si>
  <si>
    <t>Instalação elétrica básica</t>
  </si>
  <si>
    <t xml:space="preserve">OPEN MALL </t>
  </si>
  <si>
    <t xml:space="preserve">Paisagismo </t>
  </si>
  <si>
    <t>Estacionamento com piso de brita</t>
  </si>
  <si>
    <t>Equipamentos para o estacionamento</t>
  </si>
  <si>
    <t>Estrutura de concreto para shopping</t>
  </si>
  <si>
    <r>
      <t>PARQUE MOLHADO (884 m</t>
    </r>
    <r>
      <rPr>
        <b/>
        <vertAlign val="superscript"/>
        <sz val="11"/>
        <color indexed="8"/>
        <rFont val="Aptos Narrow"/>
        <family val="2"/>
      </rPr>
      <t>2</t>
    </r>
    <r>
      <rPr>
        <b/>
        <sz val="11"/>
        <color indexed="8"/>
        <rFont val="Aptos Narrow"/>
        <family val="2"/>
      </rPr>
      <t>)</t>
    </r>
  </si>
  <si>
    <t>Sistema de reutilização da água</t>
  </si>
  <si>
    <t>Brinquedos</t>
  </si>
  <si>
    <t xml:space="preserve">Construção do Parque </t>
  </si>
  <si>
    <t xml:space="preserve">FAZENDINHA E ATRATIVOS </t>
  </si>
  <si>
    <t>Limpeza e adequação do terreno</t>
  </si>
  <si>
    <t xml:space="preserve">Equoterapia </t>
  </si>
  <si>
    <t>Animais</t>
  </si>
  <si>
    <t>Circuito Arborismo</t>
  </si>
  <si>
    <t>6 meses</t>
  </si>
  <si>
    <t>Tirolesa</t>
  </si>
  <si>
    <t>OPEX (R$)</t>
  </si>
  <si>
    <t>RESUMO DOS CUSTOS E DESPESAS</t>
  </si>
  <si>
    <t>CENÁRIO BASE</t>
  </si>
  <si>
    <t>Fixo</t>
  </si>
  <si>
    <t>Total (R$ Mil)</t>
  </si>
  <si>
    <t>Gestão de Resíduos</t>
  </si>
  <si>
    <t>Total dos custos de operação (R$ Mil)</t>
  </si>
  <si>
    <t>CENÁRIO PESSIMISTA</t>
  </si>
  <si>
    <t>CENÁRIO OTIMISTA</t>
  </si>
  <si>
    <t>Descrição</t>
  </si>
  <si>
    <t>Mensal</t>
  </si>
  <si>
    <t>Anual</t>
  </si>
  <si>
    <t>MALL</t>
  </si>
  <si>
    <t>Mão de obra</t>
  </si>
  <si>
    <t>Materiais e Produtos</t>
  </si>
  <si>
    <t>Serviços de Terceiros</t>
  </si>
  <si>
    <t>FAZENDINHA</t>
  </si>
  <si>
    <t>CHARRETE</t>
  </si>
  <si>
    <t>ECOTERAPIA</t>
  </si>
  <si>
    <t>NÚCLEO DE AVENTURAS</t>
  </si>
  <si>
    <t>CAMP INFANTIL</t>
  </si>
  <si>
    <t>RESTAURANTE</t>
  </si>
  <si>
    <t>CENTRO DE VISITANTES</t>
  </si>
  <si>
    <t>ESPAÇO MULTIUSO</t>
  </si>
  <si>
    <t>ESTACIONAMENTO</t>
  </si>
  <si>
    <t>GESTÃO DE RESÍDUOS</t>
  </si>
  <si>
    <t>PARQUE DE EXPOSIÇÕES</t>
  </si>
  <si>
    <t>Anual (A partir Ano 4)</t>
  </si>
  <si>
    <t>LIMPEZA - COLETA DE LIXO - CONTROLE DE PRAGAS</t>
  </si>
  <si>
    <t>conservação de áreas verdes</t>
  </si>
  <si>
    <t>Total</t>
  </si>
  <si>
    <t>demanda diária fixa [unid]</t>
  </si>
  <si>
    <t>geração unitária diária [kg/unid]</t>
  </si>
  <si>
    <t>geração diária total [kg]</t>
  </si>
  <si>
    <t>geração anual total [m³]</t>
  </si>
  <si>
    <t>custo de destinação anual [R$]</t>
  </si>
  <si>
    <t>População Fixa</t>
  </si>
  <si>
    <t>População Flutuante</t>
  </si>
  <si>
    <t>Área Varrição</t>
  </si>
  <si>
    <t>Premissas Gerais</t>
  </si>
  <si>
    <t>População Fixa Parque de Exposição</t>
  </si>
  <si>
    <t>Estudo Técnico</t>
  </si>
  <si>
    <t>UGC Mall e Atrativos</t>
  </si>
  <si>
    <t xml:space="preserve">Qtde. mão de Obra </t>
  </si>
  <si>
    <t>UGC Encargos da SPE</t>
  </si>
  <si>
    <t>Funcionários Concessionária</t>
  </si>
  <si>
    <t xml:space="preserve">Mall de Conveniências </t>
  </si>
  <si>
    <t>Limpeza, coletade lixo interna e controle de pragas</t>
  </si>
  <si>
    <t>População Flutuante (Área Comercial e Parque)</t>
  </si>
  <si>
    <t>pessoas/dia</t>
  </si>
  <si>
    <t>Estimativa com base no estudo de demanda</t>
  </si>
  <si>
    <t>Conservação de áreas Verdes</t>
  </si>
  <si>
    <t>Média público por ano (lazer + entorno)</t>
  </si>
  <si>
    <t xml:space="preserve">Manutenção </t>
  </si>
  <si>
    <t>Dias de funcionamento por ano</t>
  </si>
  <si>
    <t>Nucleo Aventuras</t>
  </si>
  <si>
    <t>Serivço TIC</t>
  </si>
  <si>
    <t>Administração Local e Geral</t>
  </si>
  <si>
    <t>Centro de visitantes</t>
  </si>
  <si>
    <t>Parque de Exposição</t>
  </si>
  <si>
    <t>Transporte e Destinação</t>
  </si>
  <si>
    <t>BRL/m³</t>
  </si>
  <si>
    <t>Peso Específico (não compactado)</t>
  </si>
  <si>
    <t>kg/m³</t>
  </si>
  <si>
    <t>Geração de Volume Unitária</t>
  </si>
  <si>
    <t>kg/dia.pax</t>
  </si>
  <si>
    <t>DIAGNOSTICO_TEMATICO_VISAO_GERAL_RS_SNIS_2023_ATUALIZADO.pdf (mdr.gov.br)</t>
  </si>
  <si>
    <t>50% da geração diária do SNIRH</t>
  </si>
  <si>
    <t>25% da geração diária do SNIRH</t>
  </si>
  <si>
    <t>Varrição Parque e Manutenção Paisagismo</t>
  </si>
  <si>
    <t>kg/dia.m²</t>
  </si>
  <si>
    <t>Demanda</t>
  </si>
  <si>
    <t>pax</t>
  </si>
  <si>
    <t>Resíduos Gerados</t>
  </si>
  <si>
    <t>kg/dia</t>
  </si>
  <si>
    <t>m³/ano</t>
  </si>
  <si>
    <t>Custo de Destinação</t>
  </si>
  <si>
    <t>BRL</t>
  </si>
  <si>
    <t>Tributos(R$ mil)</t>
  </si>
  <si>
    <t>TIBUTOS A PAGAR</t>
  </si>
  <si>
    <t>Regime de tributação</t>
  </si>
  <si>
    <t>Tributos indiretos</t>
  </si>
  <si>
    <t>PIS / PASEP</t>
  </si>
  <si>
    <t>PIS/Cofins sobre a receita direta</t>
  </si>
  <si>
    <t>Valor faturado</t>
  </si>
  <si>
    <t>Imposto de Renda e Contribuição Social</t>
  </si>
  <si>
    <t>LAIR sem Aporte de Recursos</t>
  </si>
  <si>
    <t>Despesas não dedutíveis</t>
  </si>
  <si>
    <t>Alíquota Presunção de Lucro</t>
  </si>
  <si>
    <t>Saldo inicial do prej. fiscal a compensar</t>
  </si>
  <si>
    <t>Saldo utilizado</t>
  </si>
  <si>
    <t>Saldo final do prej. fiscal a compensar</t>
  </si>
  <si>
    <t>IRPJ</t>
  </si>
  <si>
    <t>15% sobre lucro tributável</t>
  </si>
  <si>
    <t>10% sobre lucro tributável acima de R$ 240.000</t>
  </si>
  <si>
    <t>Contribuição social</t>
  </si>
  <si>
    <t>% sobre LAIR</t>
  </si>
  <si>
    <t>Demais Despesas</t>
  </si>
  <si>
    <t xml:space="preserve">Depreciação </t>
  </si>
  <si>
    <t>Impostos Diretos</t>
  </si>
  <si>
    <t>Seguros e Garantias</t>
  </si>
  <si>
    <t>VEI</t>
  </si>
  <si>
    <t xml:space="preserve">Total </t>
  </si>
  <si>
    <t>Amortização (R$ mil)</t>
  </si>
  <si>
    <t>Inflação acumulada</t>
  </si>
  <si>
    <t>1. Amortização da outorga</t>
  </si>
  <si>
    <t>Total bruto</t>
  </si>
  <si>
    <t>Depreciação no ano</t>
  </si>
  <si>
    <t>Depreciação acumulada</t>
  </si>
  <si>
    <t>Saldo</t>
  </si>
  <si>
    <t>2. Amortizacão dos investimentos</t>
  </si>
  <si>
    <t>Investimentos no ano</t>
  </si>
  <si>
    <t>Acumulado bruto</t>
  </si>
  <si>
    <t>Amortização no ano</t>
  </si>
  <si>
    <t>Amortização acumulada</t>
  </si>
  <si>
    <t>Prazo amt.</t>
  </si>
  <si>
    <t>Investimentos</t>
  </si>
  <si>
    <t>Financiamentos (R$ mil)</t>
  </si>
  <si>
    <t>Indexadores</t>
  </si>
  <si>
    <t>IPCA</t>
  </si>
  <si>
    <t>01. Empréstimo - Longo Prazo</t>
  </si>
  <si>
    <t>Juros</t>
  </si>
  <si>
    <t>Prestação</t>
  </si>
  <si>
    <t>Saldo devedor</t>
  </si>
  <si>
    <t>ICSD</t>
  </si>
  <si>
    <t>Macro</t>
  </si>
  <si>
    <t>Índices anuais - Boletim FOCUS 17/06, Itaú BBA</t>
  </si>
  <si>
    <t>INPC</t>
  </si>
  <si>
    <t>IGP-M</t>
  </si>
  <si>
    <t>CDI</t>
  </si>
  <si>
    <t>CPI</t>
  </si>
  <si>
    <t>Currency in nominal terms - Fx Avg.</t>
  </si>
  <si>
    <t>Índices acumulados</t>
  </si>
  <si>
    <t>NÚCLEOS</t>
  </si>
  <si>
    <t>TICKET MÉDIO</t>
  </si>
  <si>
    <t>% de captura</t>
  </si>
  <si>
    <t>TIPOLOGIA PUBLICO</t>
  </si>
  <si>
    <t>ÁREA</t>
  </si>
  <si>
    <t>VAGAS</t>
  </si>
  <si>
    <t>UGC</t>
  </si>
  <si>
    <t>QUANT</t>
  </si>
  <si>
    <t>UNID</t>
  </si>
  <si>
    <t xml:space="preserve"> PREÇO UNITÁRIO </t>
  </si>
  <si>
    <t>CONSTRUÇÃO ETE</t>
  </si>
  <si>
    <t>REDE DE ESGOTO</t>
  </si>
  <si>
    <t>REDE DE ÁGUA</t>
  </si>
  <si>
    <t>DRENAGEM</t>
  </si>
  <si>
    <t>INSTALAÇÕES HIDROSANITÁRIAS</t>
  </si>
  <si>
    <t>REFORMA DAS ESTRUTURAS EXISTENTES</t>
  </si>
  <si>
    <t>Eventos do Parque de Exposição</t>
  </si>
  <si>
    <t>X</t>
  </si>
  <si>
    <t>SERVIÇOS PRELIMINARES</t>
  </si>
  <si>
    <t>MALL DE CONVENIENCIAS</t>
  </si>
  <si>
    <t>R$/ ABL / ANO</t>
  </si>
  <si>
    <t>x</t>
  </si>
  <si>
    <t>FINAIS DE SEMANA  +MORADORES</t>
  </si>
  <si>
    <t>NÚCLEO AVENTURA</t>
  </si>
  <si>
    <t>FRENTE DO TERRENO - NÚCLEO 2</t>
  </si>
  <si>
    <t>RESTAURANTE DE ALTO PADRÃO (APOIO AO RECEPTIVO)</t>
  </si>
  <si>
    <t>RECEPTIVO DE VISITANTES</t>
  </si>
  <si>
    <t>FINAIS DE SEMANA</t>
  </si>
  <si>
    <t>NÚMERO DE EVENTOS ANUAIS</t>
  </si>
  <si>
    <t>JARDIM E ESTACIONAMENTO</t>
  </si>
  <si>
    <t>BOLSÕES DE ESTACIONAMENTO</t>
  </si>
  <si>
    <t>TODOS</t>
  </si>
  <si>
    <t>M²</t>
  </si>
  <si>
    <t>CODIGO</t>
  </si>
  <si>
    <t>DESCRICAO DO INSUMO</t>
  </si>
  <si>
    <t>UNIDADE DE MEDIDA</t>
  </si>
  <si>
    <t>ORIGEM DO PRECO</t>
  </si>
  <si>
    <t>PRECO MEDIANO R$</t>
  </si>
  <si>
    <t>PEDRA BRITA GRADUADA, CLASSIFICDA (POSTO PEDREIRA/FORNECEDOR, SEM FRETE)</t>
  </si>
  <si>
    <t>M3</t>
  </si>
  <si>
    <t>CR</t>
  </si>
  <si>
    <t>BLOQUETE/PISO DE CONCRETO - MODELO PISOGRAMA/CONCREGRAMA 2 FUROS, DIMENSOES APROX. DE *35X15*CM E ESPESSURA DE 7 CM (+/- 1CM), COR NATURAL</t>
  </si>
  <si>
    <t>M2</t>
  </si>
  <si>
    <t>CALHA/CANALETA DE CONCRETO SIMPLES, TIPO MEIA CANA, DIAMETRO DE 60 CM, PARA AGUA PLUVIAL</t>
  </si>
  <si>
    <t>M</t>
  </si>
  <si>
    <t>AS</t>
  </si>
  <si>
    <t>CONCRETO USINADO BOMBEÁVEL. CLASSE DE RESISTENCIA C30, COM BRITA 0 E 1, SLUMP = 220 +/- 30MM, EXCLUI SERVIÇO DE BOMBEAMENTO (NBR 8953)</t>
  </si>
  <si>
    <t>TUBO COLETOR DE ESGOTO PVC, JEI, DN 350 MM (NBR 7362)</t>
  </si>
  <si>
    <t>CHAPA/PAINEL DE MADEIRA COMPENSADA PLASTIFICADA (MADEIRITE PLASTIFICADO) PARA FORMA DE CONCRETO, DE 2200 X 1100 MM, E= 20 MM</t>
  </si>
  <si>
    <t>ARMADOR (MENSALISTA)</t>
  </si>
  <si>
    <t>MÊS</t>
  </si>
  <si>
    <t>ARQUITETO PLENO (MENSALISTA)</t>
  </si>
  <si>
    <t>ENGENHEIRO CIVIL DE OBRA PLENO (MENSALISTA)</t>
  </si>
  <si>
    <t>ENCARREGADO GERAL DE OBRAS (MENSALISTA)</t>
  </si>
  <si>
    <t>PEDREIRO (MENSALISTA)</t>
  </si>
  <si>
    <t>TOPOGRAFO (MENSALISTA)</t>
  </si>
  <si>
    <t>CARPINTEIRO DE FORMAS (MENSALISTA)</t>
  </si>
  <si>
    <t>Estudo de demanda</t>
  </si>
  <si>
    <t>Otimista</t>
  </si>
  <si>
    <t>Lazer de finais de semana</t>
  </si>
  <si>
    <t xml:space="preserve">Moradores do entorno </t>
  </si>
  <si>
    <t>Média Anual</t>
  </si>
  <si>
    <t>Pessimista</t>
  </si>
  <si>
    <t>1. Público de eventos do Parque de Exposição</t>
  </si>
  <si>
    <t>Evento de exposição</t>
  </si>
  <si>
    <t>Benchmarks:</t>
  </si>
  <si>
    <t>local</t>
  </si>
  <si>
    <t>evento</t>
  </si>
  <si>
    <t>público</t>
  </si>
  <si>
    <t>PE Teresina</t>
  </si>
  <si>
    <t>Teresina</t>
  </si>
  <si>
    <t>Expoapi</t>
  </si>
  <si>
    <t>PE Gameleira</t>
  </si>
  <si>
    <t>Belo Horizonte</t>
  </si>
  <si>
    <t>Super agro</t>
  </si>
  <si>
    <t>Exposição estadual agropecuária</t>
  </si>
  <si>
    <t>PE Uberaba</t>
  </si>
  <si>
    <t>Uberaba</t>
  </si>
  <si>
    <t>Exposzebu</t>
  </si>
  <si>
    <t>PE Fernando Costa</t>
  </si>
  <si>
    <t>Franca</t>
  </si>
  <si>
    <t>Expoagro</t>
  </si>
  <si>
    <t>Quantidade de eventos/ ano</t>
  </si>
  <si>
    <t>Exposição</t>
  </si>
  <si>
    <t>Vaquejadas</t>
  </si>
  <si>
    <t>Visitantes - base</t>
  </si>
  <si>
    <t>visitantes por evento</t>
  </si>
  <si>
    <t>otimista</t>
  </si>
  <si>
    <t>base</t>
  </si>
  <si>
    <t>pessimista</t>
  </si>
  <si>
    <t>2. Público de lazer de finais de semana</t>
  </si>
  <si>
    <t>Benchmarks - zoobotânico</t>
  </si>
  <si>
    <t>População urbana</t>
  </si>
  <si>
    <t>numero de visitantes - zoobotanico</t>
  </si>
  <si>
    <t>% de captura população Teresina</t>
  </si>
  <si>
    <t>2022 - 116 mil visitantes</t>
  </si>
  <si>
    <t>2023 - 173 mil visitantes</t>
  </si>
  <si>
    <t>receita bilheteria</t>
  </si>
  <si>
    <t>capex</t>
  </si>
  <si>
    <t>opex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</si>
  <si>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</si>
  <si>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</si>
  <si>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</si>
  <si>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</si>
  <si>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</si>
  <si>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</si>
  <si>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</si>
  <si>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</si>
  <si>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</si>
  <si>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</si>
  <si>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</si>
  <si>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</si>
  <si>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Fonte: Relatório trimestral 2022 Zoobotânico</t>
  </si>
  <si>
    <t>Valor do contrato</t>
  </si>
  <si>
    <t>investimento estimado</t>
  </si>
  <si>
    <t>investimento ao longo da concessao</t>
  </si>
  <si>
    <t>outorga</t>
  </si>
  <si>
    <t>ROB</t>
  </si>
  <si>
    <t>carencia da outorga</t>
  </si>
  <si>
    <t>UGCs Zoobotânico</t>
  </si>
  <si>
    <t>ticket</t>
  </si>
  <si>
    <t>Bilheteria</t>
  </si>
  <si>
    <t xml:space="preserve"> aluguel de bicicletas</t>
  </si>
  <si>
    <t xml:space="preserve"> aluguel de quiosques </t>
  </si>
  <si>
    <t xml:space="preserve">visitação noturna </t>
  </si>
  <si>
    <t xml:space="preserve">auditório </t>
  </si>
  <si>
    <t xml:space="preserve">restaurante </t>
  </si>
  <si>
    <t>Barco-escola</t>
  </si>
  <si>
    <t xml:space="preserve">barco Riacho Atlantis </t>
  </si>
  <si>
    <t>Publicidade</t>
  </si>
  <si>
    <t>Safari</t>
  </si>
  <si>
    <t xml:space="preserve">Arvorismo </t>
  </si>
  <si>
    <t>Salas Comerciais etc.</t>
  </si>
  <si>
    <t>Projeção de crescimento populacional - Teresina</t>
  </si>
  <si>
    <t>% de captura parque de exposições</t>
  </si>
  <si>
    <t xml:space="preserve">3. Público de moradores do entorno </t>
  </si>
  <si>
    <t>Densidade (IBGE)</t>
  </si>
  <si>
    <t>habitantes/domicílio</t>
  </si>
  <si>
    <t>Quant. Lotes</t>
  </si>
  <si>
    <t>População estimada</t>
  </si>
  <si>
    <t>Alphavile Teresina</t>
  </si>
  <si>
    <t>Terras Alphaville</t>
  </si>
  <si>
    <t>Terras Alphaville 2</t>
  </si>
  <si>
    <t>Alphavile Piauí</t>
  </si>
  <si>
    <t>Condomínio Teresópolis</t>
  </si>
  <si>
    <t>Condomínio vila priviledge</t>
  </si>
  <si>
    <t>Condomínio way residence</t>
  </si>
  <si>
    <t>% de captura da pop do entorno</t>
  </si>
  <si>
    <t>giro anual</t>
  </si>
  <si>
    <t>Benchmarks de preços de atrativos</t>
  </si>
  <si>
    <t>Ingresso</t>
  </si>
  <si>
    <t>Parque Nacional do Iguaçu</t>
  </si>
  <si>
    <t>Foz do Iguaçu (PR)</t>
  </si>
  <si>
    <t>https://www.googleadservices.com/pagead/aclk?sa=L&amp;ai=DChcSEwj6kuHXnJ-HAxWNCK0GHQpoA_oYABAAGgJwdg&amp;ase=2&amp;gclid=Cj0KCQjwhb60BhClARIsABGGtw8nCYajOOiUD66mvY55I67i36qe4k7J1BDAi8IhEpD_SzSs7u8WWX8aAvd0EALw_wcB&amp;ohost=www.google.com&amp;cid=CAESVuD2rCQpvK8JZVjPoO4dQbDGOBhtM-uNN0din2KdqSVwWsAWNM_LFkXfz8i_BzDMmVmrbU5R49NfrYPtQvrI6tn75TV3lInGTbkaeS4uXSdRU7sb3I8Y&amp;sig=AOD64_3JiRrZb_uzbcmv7iSYrvC6d7Zswg&amp;q&amp;nis=4&amp;adurl&amp;ved=2ahUKEwi5mNbXnJ-HAxV0rZUCHVSQDIUQ0Qx6BAgDEAE</t>
  </si>
  <si>
    <t>Parque Nacional Chapada dos Veadeiros</t>
  </si>
  <si>
    <t>GO</t>
  </si>
  <si>
    <t>https://www.icmbio.gov.br/parnachapadadosveadeiros/guia-do-visitante/38-ingressos.html</t>
  </si>
  <si>
    <t>Parque Nacional da Serra Geral</t>
  </si>
  <si>
    <t>Praia Grande (SC)</t>
  </si>
  <si>
    <t>https://www.icmbio.gov.br/parnaaparadosdaserra/guia-do-visitante/21-ingressos.html#ingressos</t>
  </si>
  <si>
    <t>PREÇO ADOTADO</t>
  </si>
  <si>
    <t>Petropolis</t>
  </si>
  <si>
    <t>Tiradentes</t>
  </si>
  <si>
    <t>poços de caldas</t>
  </si>
  <si>
    <t>charrete</t>
  </si>
  <si>
    <t>Parque de aventuras</t>
  </si>
  <si>
    <t>Garper</t>
  </si>
  <si>
    <t>Bento Gonçalves</t>
  </si>
  <si>
    <t>Tarundu</t>
  </si>
  <si>
    <t>Campos do Jordão</t>
  </si>
  <si>
    <t>Selva SP</t>
  </si>
  <si>
    <t>São Paulo</t>
  </si>
  <si>
    <t>Arvorismo</t>
  </si>
  <si>
    <t>Apuama</t>
  </si>
  <si>
    <t>Apuama| Santa Catarina</t>
  </si>
  <si>
    <t>Parque Tarundu | Campos do Jordão</t>
  </si>
  <si>
    <t>aldeia da serra</t>
  </si>
  <si>
    <t>Campinas</t>
  </si>
  <si>
    <t>porto alegre</t>
  </si>
  <si>
    <t>kart</t>
  </si>
  <si>
    <t>Monte verde</t>
  </si>
  <si>
    <t>Loja em avenida</t>
  </si>
  <si>
    <t>Restaurante em avenida</t>
  </si>
  <si>
    <t xml:space="preserve">Restaurante parte debaixo </t>
  </si>
  <si>
    <t>Lojas de rua</t>
  </si>
  <si>
    <t>Loja de chocolate 30m da avenida</t>
  </si>
  <si>
    <t>ALUGUEL ESPAÇOS COMERCIAIS</t>
  </si>
  <si>
    <t>Preço R$/m² x 12</t>
  </si>
  <si>
    <t>EQUITERAPIA</t>
  </si>
  <si>
    <t>preço por hora</t>
  </si>
  <si>
    <t>quantidade de cavalos disponíveis</t>
  </si>
  <si>
    <t>Receita/ dia</t>
  </si>
  <si>
    <t>Receita/ mês</t>
  </si>
  <si>
    <t>Receita/ ano</t>
  </si>
  <si>
    <t>Referências:</t>
  </si>
  <si>
    <t>https://fealq.org.br/equoterapia/vivencia-com-cavalos/</t>
  </si>
  <si>
    <t>Áreas disponíveis - Parque de Exposições de Carapina</t>
  </si>
  <si>
    <t>Fonte: https://setur.es.gov.br/Media/Setur/Setur/Pavilh%C3%A3o%20Carapina/Formul%C3%A1rio%20de%20Solicita%C3%A7%C3%A3o%20de%20Reserva%20de%20Espa%C3%A7o%20-%20Pavilh%C3%A3o%20de%20Carapina%202024.docx</t>
  </si>
  <si>
    <t>ESPAÇO</t>
  </si>
  <si>
    <t>ÁREA (M²)</t>
  </si>
  <si>
    <t>COLIBRI</t>
  </si>
  <si>
    <t>MARLIN AZUL</t>
  </si>
  <si>
    <t>JUBARTE</t>
  </si>
  <si>
    <t>ÁREA COBERTA 1</t>
  </si>
  <si>
    <t>ÁREA COBERTA 2</t>
  </si>
  <si>
    <t>ARENA</t>
  </si>
  <si>
    <t>ESTACIONAMENTO 1</t>
  </si>
  <si>
    <t>ESTACIONAMENTO 2</t>
  </si>
  <si>
    <t>ÁREA DE APOIO ESPAÇO JUBARTE</t>
  </si>
  <si>
    <t>ÁREA DE APOIO ANEXA ESPAÇO COLIBRI</t>
  </si>
  <si>
    <t>ÁREA DE APOIO ANEXA ESTACIONAMENTO 1</t>
  </si>
  <si>
    <t>ÁREA GRAMADA 1</t>
  </si>
  <si>
    <t>ÁREA GRAMADA 2</t>
  </si>
  <si>
    <t>ÁREA APOIO EXTERNA</t>
  </si>
  <si>
    <t>Evento</t>
  </si>
  <si>
    <t>Valor</t>
  </si>
  <si>
    <t>Área locada (m²)</t>
  </si>
  <si>
    <t>Período do evento (dias)</t>
  </si>
  <si>
    <t>Diária (R$/ ABL/ dia)</t>
  </si>
  <si>
    <t>Fonte</t>
  </si>
  <si>
    <t>MÉDIA</t>
  </si>
  <si>
    <t>Locação temporário do Espaços Colibri, Marlim Azul e Jubarte e Estacionamento I no Parque Estadual Floriano Varejão para o evento “Vitória Stone Fair 2023”</t>
  </si>
  <si>
    <t>https://setur.es.gov.br/Media/Setur/Setur/Pavilh%C3%A3o%20Carapina/1.%20Vit%C3%B3ria%20Stone%20Fair%202023%20-%2007%20a%2010%20de%20fevereiro%20de%202023.pdf</t>
  </si>
  <si>
    <t>Locação temporário do Espaço Marlim Azul no Parque Estadual Floriano Varejão para o evento “FEIRÃO DE CARROS USADOS - MARÇO 2023”</t>
  </si>
  <si>
    <t>https://setur.es.gov.br/Media/Setur/Setur/Pavilh%C3%A3o%20Carapina/2.%20Feir%C3%A3o%20de%20Carros%20Edi%C3%A7%C3%A3o%20Mar%C3%A7o%202023%20-%2010%20a%2012%20de%20mar%C3%A7o%20de%202023.pdf</t>
  </si>
  <si>
    <t xml:space="preserve"> Locação temporário dos Espaços Colibri e Marlim Azul no Parque Estadual Floriano Varejão para o evento “EXAGERADO - EDIÇÃO MAIO 2023</t>
  </si>
  <si>
    <t>https://setur.es.gov.br/Media/Setur/Setur/Pavilh%C3%A3o%20Carapina/3.%20Exagerado%20Outlet%20Edi%C3%A7%C3%A3o%20Maio%202023%20-%2017%20a%2021%20de%20maio%20de%202023.pdf</t>
  </si>
  <si>
    <t xml:space="preserve"> Locação temporário do Espaço Colibri no
Parque Estadual Floriano Varejão para o evento
“FEIJOADA DO JOÃO 2023”</t>
  </si>
  <si>
    <t>https://setur.es.gov.br/Media/Setur/Setur/Pavilh%C3%A3o%20Carapina/4.%20Feijoada%20do%20Jo%C3%A3o%202023%20-%2028%20de%20maio%20de%202023.pdf</t>
  </si>
  <si>
    <t>Locação temporário do Espaço Marlim Azul
no Parque Estadual Floriano Varejão para o evento
“FEIRÃO DE CARROS USADOS - JUNHO 2023”</t>
  </si>
  <si>
    <t>https://setur.es.gov.br/Media/Setur/Setur/Pavilh%C3%A3o%20Carapina/5.%20Feir%C3%A3o%20de%20Carros%20Edi%C3%A7%C3%A3o%20Junho%202023%20-%2023%20a%2025%20de%20junho%20de%202023.pdf</t>
  </si>
  <si>
    <t>Locação temporário dos Espaços Colibri,
Marlim Azul e Jubarte no Parque Estadual Floriano
Varejão para o evento “MEC SHOW 2023”</t>
  </si>
  <si>
    <t>https://setur.es.gov.br/Media/Setur/Setur/Pavilh%C3%A3o%20Carapina/6.%20Mec%20Show%202023%20-%2008%20a%2010%20de%20agosto%20de%202023.pdf</t>
  </si>
  <si>
    <t>Locação temporário dos Espaços Colibri,
Marlim Azul e Jubarte, área de apoio espaço jubarte
e área de apoio anexa ao Espaço Colibri no Parque
Estadual Floriano Varejão para o evento “Acaps Trade
Show 2023”</t>
  </si>
  <si>
    <t>https://setur.es.gov.br/Media/Setur/Setur/Pavilh%C3%A3o%20Carapina/8.%20Acaps%20Trade%20Show%20-%2026%20a%2028%20de%20setembro%20de%202023.pdf</t>
  </si>
  <si>
    <t xml:space="preserve"> Locação temporário do Espaço Colibri no
Parque Estadual Floriano Varejão para o evento
“Feira Profissões 2023”</t>
  </si>
  <si>
    <t>https://setur.es.gov.br/Media/Setur/Setur/Pavilh%C3%A3o%20Carapina/9.%20Feira%20Profiss%C3%B5es%20-%2005%20a%2007%20de%20outubro%20de%202023.pdf</t>
  </si>
  <si>
    <t>Locação temporário dos Espaços Colibri e
Marlim Azul no Parque Estadual Floriano Varejão para
o evento “EXAGERADO - EDIÇÃO OUTUBRO 2023”</t>
  </si>
  <si>
    <t>https://setur.es.gov.br/Media/Setur/Setur/Pavilh%C3%A3o%20Carapina/10.%20Exagerado%20Outlet%20Edi%C3%A7%C3%A3o%20Outubro%202023%20-%2018%20a%2022%20de%20outubro%20de%202023.pdf</t>
  </si>
  <si>
    <t>CUSTO DE COMPOSIÇÃO ANALÍTICO SINAPI (08/03/2024) NÃO DESONERADO</t>
  </si>
  <si>
    <t>CÓDIGO</t>
  </si>
  <si>
    <t>R$/m3</t>
  </si>
  <si>
    <t>EQUIPAMENTO :</t>
  </si>
  <si>
    <t>MATERIAL :</t>
  </si>
  <si>
    <t xml:space="preserve">MAO DE OBRA : </t>
  </si>
  <si>
    <t>TOTAL COMPOSIÇÃO :</t>
  </si>
  <si>
    <t>TOTAL COMPOSIÇÃO COM BDI:</t>
  </si>
  <si>
    <t xml:space="preserve">ASSENTAMENTO DE TUBO DE CONCRETO PARA REDES COLETORAS DE ESGOTO SANITÁRIO DIÂMETRO DE 500 MM, JUNTA ELÁSTICA, INSTALADO EM LOCAL COM BAIXO NÍVEL DE INTERFERÊNCIAS (NÃO INCLUI FORNECIMENTO), AF_12/2015 </t>
  </si>
  <si>
    <t>R$/m</t>
  </si>
  <si>
    <t xml:space="preserve">MATERIAL : </t>
  </si>
  <si>
    <t xml:space="preserve">MAO DE OBRA :  </t>
  </si>
  <si>
    <t xml:space="preserve">TOTAL COMPOSIÇÃO : </t>
  </si>
  <si>
    <t>ASSENTAMENTO DE TUBO DE CONCRETO PARA REDES COLETORAS DE ÁGUAS PLUVIAIS, DIÂMETRO DE 500 MM, JUNTA RÍGIDA, INSTALADO EM LOCAL COM BAIXO NÍVEL DE INTERFERÊNCIAS (NÃO INCLUI FORNECIMENTO). AF_12/2015</t>
  </si>
  <si>
    <t>MAO DE OBRA :</t>
  </si>
  <si>
    <t>OUTROS :</t>
  </si>
  <si>
    <t>EXECUÇÃO E COMPACTAÇÃO DE BASE E OU SUB BASE PARA PAVIMENTAÇÃO DE BRITA GRADUADA TRATADA COM CIMENTO - EXCLUSIVE CARGA E TRANSPORTE. AF_11/2019</t>
  </si>
  <si>
    <t>REMOÇÃO DE RAÍZES REMANESCENTES DE TRONCO DE ÁRVORE COM DIÂMETRO MAIOR OU IGUAL A 0,60 M.AF_05/2018</t>
  </si>
  <si>
    <t>R$/un</t>
  </si>
  <si>
    <t>CORTE RASO E RECORTE DE ÁRVORE COM DIÂMETRO DE TRONCO MAIOR OU IGUAL A 0,6 m</t>
  </si>
  <si>
    <t>MOVIMENTO DE TERRA</t>
  </si>
  <si>
    <t>Corte e remoção de árvores inclusive raizes, diâmetro &gt;60 e &lt; 90cm (unidade)</t>
  </si>
  <si>
    <r>
      <t>Limpeza mecanizada de terreno, inclusive camada vegetal até 30cm de profundidade, sem transporte (m</t>
    </r>
    <r>
      <rPr>
        <vertAlign val="superscript"/>
        <sz val="8"/>
        <color rgb="FF000000"/>
        <rFont val="Times New Roman"/>
        <family val="1"/>
      </rPr>
      <t xml:space="preserve">2 </t>
    </r>
    <r>
      <rPr>
        <sz val="8"/>
        <color rgb="FF000000"/>
        <rFont val="Times New Roman"/>
        <family val="1"/>
      </rPr>
      <t>)</t>
    </r>
  </si>
  <si>
    <r>
      <t>Remoção de terra além do primeiro km, com caminhão de 14m</t>
    </r>
    <r>
      <rPr>
        <vertAlign val="superscript"/>
        <sz val="10"/>
        <color rgb="FF000000"/>
        <rFont val="Arial"/>
        <family val="2"/>
      </rPr>
      <t xml:space="preserve">3  </t>
    </r>
    <r>
      <rPr>
        <sz val="10"/>
        <color rgb="FF000000"/>
        <rFont val="Arial"/>
        <family val="2"/>
      </rPr>
      <t>(m</t>
    </r>
    <r>
      <rPr>
        <vertAlign val="superscript"/>
        <sz val="10"/>
        <color rgb="FF000000"/>
        <rFont val="Arial"/>
        <family val="2"/>
      </rPr>
      <t>3</t>
    </r>
    <r>
      <rPr>
        <sz val="10"/>
        <color rgb="FF000000"/>
        <rFont val="Arial"/>
        <family val="2"/>
      </rPr>
      <t xml:space="preserve"> x km)</t>
    </r>
  </si>
  <si>
    <t>REFLORESTAMENTO</t>
  </si>
  <si>
    <t>Reflorestamento de área com vegetação nativa (por hectare)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</si>
</sst>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d\-mmm\-yy"/>
    <numFmt numFmtId="165" formatCode="0.000%"/>
    <numFmt numFmtId="166" formatCode="_(* #,##0_);_(* \(#,##0\);_(* &quot;-&quot;??_);_(@_)"/>
    <numFmt numFmtId="167" formatCode="#,##0_ ;[Red]\-#,##0\ "/>
    <numFmt numFmtId="168" formatCode="#,##0.00_ ;[Red]\-#,##0.00\ "/>
    <numFmt numFmtId="169" formatCode="#,##0.0_ ;[Red]\-#,##0.0\ "/>
    <numFmt numFmtId="170" formatCode="0.0"/>
    <numFmt numFmtId="171" formatCode="0.0%"/>
    <numFmt numFmtId="172" formatCode="#,##0_);\(#,##0\);\-"/>
    <numFmt numFmtId="173" formatCode="_-* #,##0_-;\-* #,##0_-;_-* &quot;-&quot;??_-;_-@"/>
    <numFmt numFmtId="174" formatCode="_(* #,##0.0_);_(* \(#,##0.0\);_(* &quot;-&quot;??_);_(@_)"/>
    <numFmt numFmtId="175" formatCode="#,##0;\(#,##0\);&quot;-&quot;"/>
    <numFmt numFmtId="176" formatCode="_(* #,##0.0000_);_(* \(#,##0.0000\);_(* &quot;-&quot;??_);_(@_)"/>
    <numFmt numFmtId="177" formatCode="0_ ;[Red]\-0\ "/>
    <numFmt numFmtId="178" formatCode="_(* #,##0.0000000000000_);_(* \(#,##0.0000000000000\);_(* &quot;-&quot;??_);_(@_)"/>
    <numFmt numFmtId="179" formatCode="_(* #,##0.00_);_(* \(#,##0.00\);_(* &quot;-&quot;??_);_(@_)"/>
    <numFmt numFmtId="180" formatCode="_(&quot;R$&quot;* #,##0.00_);_(&quot;R$&quot;* \(#,##0.00\);_(&quot;R$&quot;* &quot;-&quot;??_);_(@_)"/>
    <numFmt numFmtId="181" formatCode="_-* #,##0_-;\-* #,##0_-;_-* &quot;-&quot;??_-;_-@_-"/>
    <numFmt numFmtId="182" formatCode="&quot;ano &quot;0"/>
    <numFmt numFmtId="183" formatCode="_-&quot;R$&quot;\ * #,##0_-;\-&quot;R$&quot;\ * #,##0_-;_-&quot;R$&quot;\ * &quot;-&quot;??_-;_-@_-"/>
    <numFmt numFmtId="184" formatCode="&quot;R$&quot;\ #,##0"/>
    <numFmt numFmtId="185" formatCode="&quot;R$&quot;\ #,##0.00"/>
    <numFmt numFmtId="186" formatCode="0\ &quot;pessoas&quot;"/>
    <numFmt numFmtId="187" formatCode="0.000\ &quot;kg/pess.&quot;"/>
    <numFmt numFmtId="188" formatCode="_-[$R$-416]\ * #,##0.00_-;\-[$R$-416]\ * #,##0.00_-;_-[$R$-416]\ * &quot;-&quot;??_-;_-@_-"/>
    <numFmt numFmtId="189" formatCode="0\ &quot;m²&quot;"/>
    <numFmt numFmtId="190" formatCode="0.000\ &quot;kg/m² &quot;"/>
    <numFmt numFmtId="191" formatCode="&quot;Ano&quot;\ 0"/>
  </numFmts>
  <fonts count="142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7F7F7F"/>
      <name val="Calibri"/>
      <family val="2"/>
    </font>
    <font>
      <sz val="10"/>
      <color rgb="FF0000FF"/>
      <name val="Calibri"/>
      <family val="2"/>
    </font>
    <font>
      <b/>
      <sz val="10"/>
      <color theme="1"/>
      <name val="Calibri"/>
      <family val="2"/>
    </font>
    <font>
      <b/>
      <sz val="10"/>
      <color rgb="FF808080"/>
      <name val="Calibri"/>
      <family val="2"/>
    </font>
    <font>
      <b/>
      <sz val="10"/>
      <color rgb="FF7F7F7F"/>
      <name val="Calibri"/>
      <family val="2"/>
    </font>
    <font>
      <sz val="10"/>
      <color rgb="FF808080"/>
      <name val="Calibri"/>
      <family val="2"/>
    </font>
    <font>
      <sz val="10"/>
      <color rgb="FFA5A5A5"/>
      <name val="Calibri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0"/>
      <color rgb="FF7F7F7F"/>
      <name val="Arial"/>
      <family val="2"/>
    </font>
    <font>
      <sz val="10"/>
      <color theme="5"/>
      <name val="Arial"/>
      <family val="2"/>
    </font>
    <font>
      <b/>
      <sz val="10"/>
      <color theme="1"/>
      <name val="Arial"/>
      <family val="2"/>
    </font>
    <font>
      <b/>
      <sz val="10"/>
      <color rgb="FFA5A5A5"/>
      <name val="Arial"/>
      <family val="2"/>
    </font>
    <font>
      <sz val="10"/>
      <color theme="1"/>
      <name val="Arial"/>
      <family val="2"/>
    </font>
    <font>
      <sz val="10"/>
      <color rgb="FFA5A5A5"/>
      <name val="Arial"/>
      <family val="2"/>
    </font>
    <font>
      <sz val="8"/>
      <color rgb="FFBFBFBF"/>
      <name val="Arial"/>
      <family val="2"/>
    </font>
    <font>
      <sz val="10"/>
      <color rgb="FFBFBFBF"/>
      <name val="Arial"/>
      <family val="2"/>
    </font>
    <font>
      <sz val="10"/>
      <color theme="9"/>
      <name val="Arial"/>
      <family val="2"/>
    </font>
    <font>
      <b/>
      <sz val="10"/>
      <color theme="9"/>
      <name val="Arial"/>
      <family val="2"/>
    </font>
    <font>
      <b/>
      <u/>
      <sz val="10"/>
      <color theme="8"/>
      <name val="Arial"/>
      <family val="2"/>
    </font>
    <font>
      <b/>
      <u/>
      <sz val="10"/>
      <color theme="1"/>
      <name val="Arial"/>
      <family val="2"/>
    </font>
    <font>
      <sz val="8"/>
      <color rgb="FF7F7F7F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rgb="FFA5A5A5"/>
      <name val="Arial Narrow"/>
      <family val="2"/>
    </font>
    <font>
      <sz val="10"/>
      <color rgb="FF7F7F7F"/>
      <name val="Arial Narrow"/>
      <family val="2"/>
    </font>
    <font>
      <sz val="10"/>
      <color rgb="FF808080"/>
      <name val="Arial"/>
      <family val="2"/>
    </font>
    <font>
      <b/>
      <u/>
      <sz val="10"/>
      <color theme="8"/>
      <name val="Calibri"/>
      <family val="2"/>
    </font>
    <font>
      <b/>
      <sz val="10"/>
      <color rgb="FFFFFFFF"/>
      <name val="Calibri"/>
      <family val="2"/>
    </font>
    <font>
      <sz val="10"/>
      <color rgb="FFFFFFFF"/>
      <name val="Calibri"/>
      <family val="2"/>
    </font>
    <font>
      <b/>
      <u/>
      <sz val="10"/>
      <color theme="1"/>
      <name val="Calibri"/>
      <family val="2"/>
    </font>
    <font>
      <sz val="10"/>
      <color theme="9"/>
      <name val="Calibri"/>
      <family val="2"/>
    </font>
    <font>
      <b/>
      <sz val="10"/>
      <color rgb="FF7F7F7F"/>
      <name val="Arial"/>
      <family val="2"/>
    </font>
    <font>
      <sz val="11"/>
      <color theme="1"/>
      <name val="Calibri"/>
      <family val="2"/>
    </font>
    <font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Times New Roman"/>
      <family val="1"/>
    </font>
    <font>
      <sz val="8"/>
      <name val="Calibri"/>
      <family val="2"/>
      <scheme val="minor"/>
    </font>
    <font>
      <sz val="10"/>
      <name val="Arial"/>
      <family val="2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b/>
      <sz val="10"/>
      <color rgb="FF002060"/>
      <name val="Calibri"/>
      <family val="2"/>
    </font>
    <font>
      <sz val="10"/>
      <color rgb="FF002060"/>
      <name val="Calibri"/>
      <family val="2"/>
    </font>
    <font>
      <sz val="11"/>
      <color rgb="FF00206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theme="0" tint="-0.499984740745262"/>
      <name val="Arial"/>
      <family val="2"/>
    </font>
    <font>
      <b/>
      <u/>
      <sz val="10"/>
      <name val="Arial"/>
      <family val="2"/>
    </font>
    <font>
      <sz val="10"/>
      <color rgb="FF000000"/>
      <name val="Times New Roman"/>
      <family val="1"/>
    </font>
    <font>
      <b/>
      <sz val="10"/>
      <name val="Arial"/>
      <family val="2"/>
    </font>
    <font>
      <b/>
      <sz val="11"/>
      <color indexed="9"/>
      <name val="Calibri"/>
      <family val="2"/>
      <scheme val="minor"/>
    </font>
    <font>
      <sz val="10"/>
      <color indexed="12"/>
      <name val="Arial"/>
      <family val="2"/>
    </font>
    <font>
      <b/>
      <sz val="10"/>
      <color rgb="FF002060"/>
      <name val="Calibri"/>
      <family val="2"/>
      <scheme val="major"/>
    </font>
    <font>
      <b/>
      <sz val="11"/>
      <color rgb="FF002060"/>
      <name val="Calibri"/>
      <family val="2"/>
      <scheme val="major"/>
    </font>
    <font>
      <sz val="10"/>
      <color rgb="FF002060"/>
      <name val="Calibri"/>
      <family val="2"/>
      <scheme val="major"/>
    </font>
    <font>
      <b/>
      <sz val="10"/>
      <color rgb="FF002060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b/>
      <vertAlign val="superscript"/>
      <sz val="11"/>
      <color indexed="8"/>
      <name val="Aptos Narrow"/>
      <family val="2"/>
    </font>
    <font>
      <b/>
      <sz val="11"/>
      <color indexed="8"/>
      <name val="Aptos Narrow"/>
      <family val="2"/>
    </font>
    <font>
      <vertAlign val="superscript"/>
      <sz val="8"/>
      <color rgb="FF000000"/>
      <name val="Times New Roman"/>
      <family val="1"/>
    </font>
    <font>
      <sz val="8"/>
      <color rgb="FF000000"/>
      <name val="Times New Roman"/>
      <family val="1"/>
    </font>
    <font>
      <vertAlign val="superscript"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Calibri Light"/>
      <family val="2"/>
    </font>
    <font>
      <sz val="10"/>
      <color theme="1"/>
      <name val="Calibri Light"/>
      <family val="2"/>
    </font>
    <font>
      <b/>
      <sz val="11"/>
      <color theme="0"/>
      <name val="Calibri Light"/>
      <family val="2"/>
    </font>
    <font>
      <sz val="11"/>
      <color theme="1"/>
      <name val="Calibri Light"/>
      <family val="2"/>
    </font>
    <font>
      <b/>
      <sz val="10"/>
      <name val="Calibri Light"/>
      <family val="2"/>
    </font>
    <font>
      <b/>
      <sz val="11"/>
      <name val="Calibri Light"/>
      <family val="2"/>
    </font>
    <font>
      <b/>
      <u/>
      <sz val="11"/>
      <color rgb="FFFF0000"/>
      <name val="Calibri Light"/>
      <family val="2"/>
    </font>
    <font>
      <b/>
      <sz val="11"/>
      <color rgb="FFFF0000"/>
      <name val="Calibri Light"/>
      <family val="2"/>
    </font>
    <font>
      <b/>
      <u val="singleAccounting"/>
      <sz val="11"/>
      <color rgb="FFFF0000"/>
      <name val="Calibri Light"/>
      <family val="2"/>
    </font>
    <font>
      <sz val="11"/>
      <name val="Calibri Light"/>
      <family val="2"/>
    </font>
    <font>
      <b/>
      <sz val="10"/>
      <color rgb="FF0000CC"/>
      <name val="Calibri Light"/>
      <family val="2"/>
    </font>
    <font>
      <b/>
      <sz val="11"/>
      <color rgb="FF0000CC"/>
      <name val="Calibri Light"/>
      <family val="2"/>
    </font>
    <font>
      <u/>
      <sz val="10"/>
      <name val="Calibri Light"/>
      <family val="2"/>
    </font>
    <font>
      <sz val="10"/>
      <color rgb="FFFF0000"/>
      <name val="Calibri Light"/>
      <family val="2"/>
    </font>
    <font>
      <sz val="9"/>
      <color theme="1"/>
      <name val="Calibri Light"/>
      <family val="2"/>
    </font>
    <font>
      <b/>
      <sz val="9"/>
      <color theme="1"/>
      <name val="Calibri Light"/>
      <family val="2"/>
    </font>
    <font>
      <sz val="9"/>
      <color rgb="FF0000CC"/>
      <name val="Calibri Light"/>
      <family val="2"/>
    </font>
    <font>
      <i/>
      <sz val="9"/>
      <color theme="1"/>
      <name val="Calibri Light"/>
      <family val="2"/>
    </font>
    <font>
      <b/>
      <sz val="10"/>
      <color indexed="8"/>
      <name val="Arial"/>
      <family val="2"/>
    </font>
    <font>
      <b/>
      <sz val="9"/>
      <color rgb="FF000000"/>
      <name val="Calibri Light"/>
      <family val="2"/>
    </font>
    <font>
      <b/>
      <sz val="9"/>
      <color rgb="FFFFFFFF"/>
      <name val="Calibri Light"/>
      <family val="2"/>
    </font>
    <font>
      <sz val="9"/>
      <color rgb="FF000000"/>
      <name val="Calibri Light"/>
      <family val="2"/>
    </font>
    <font>
      <b/>
      <sz val="11"/>
      <name val="Segoe UI"/>
      <family val="2"/>
    </font>
    <font>
      <b/>
      <sz val="11"/>
      <color rgb="FFFFFFFF"/>
      <name val="Segoe UI"/>
      <family val="2"/>
    </font>
    <font>
      <sz val="11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indexed="8"/>
      <name val="Arial"/>
      <family val="2"/>
    </font>
    <font>
      <vertAlign val="superscript"/>
      <sz val="9"/>
      <color rgb="FF000000"/>
      <name val="Aptos Narrow"/>
      <family val="2"/>
    </font>
    <font>
      <u/>
      <sz val="11"/>
      <color theme="10"/>
      <name val="Calibri"/>
      <family val="2"/>
      <scheme val="minor"/>
    </font>
    <font>
      <b/>
      <sz val="12"/>
      <color theme="0"/>
      <name val="Calibri Light"/>
      <family val="2"/>
    </font>
    <font>
      <sz val="12"/>
      <color theme="0"/>
      <name val="Calibri Light"/>
      <family val="2"/>
    </font>
    <font>
      <b/>
      <sz val="10"/>
      <color theme="0"/>
      <name val="Calibri Light"/>
      <family val="2"/>
    </font>
    <font>
      <sz val="8"/>
      <name val="Calibri Light"/>
      <family val="2"/>
    </font>
    <font>
      <b/>
      <sz val="10"/>
      <color rgb="FF001F6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0"/>
      <color indexed="8"/>
      <name val="Arial"/>
    </font>
    <font>
      <b/>
      <sz val="10"/>
      <color rgb="FF313131"/>
      <name val="Arial Nova Cond"/>
      <family val="2"/>
    </font>
    <font>
      <sz val="10"/>
      <color rgb="FF313131"/>
      <name val="Arial Nova Cond"/>
      <family val="2"/>
    </font>
    <font>
      <b/>
      <sz val="11"/>
      <color rgb="FFFFFFFF"/>
      <name val="Arial Nova Cond"/>
      <family val="2"/>
    </font>
    <font>
      <b/>
      <i/>
      <sz val="11"/>
      <color rgb="FFFFFFFF"/>
      <name val="Arial Nova Cond"/>
      <family val="2"/>
    </font>
    <font>
      <sz val="11"/>
      <color rgb="FF313131"/>
      <name val="Arial Nova Cond"/>
      <family val="2"/>
    </font>
    <font>
      <i/>
      <sz val="11"/>
      <color rgb="FF313131"/>
      <name val="Arial Nova Cond"/>
      <family val="2"/>
    </font>
    <font>
      <b/>
      <sz val="11"/>
      <color rgb="FF313131"/>
      <name val="Arial Nova Cond"/>
      <family val="2"/>
    </font>
    <font>
      <sz val="10"/>
      <color rgb="FF0000FF"/>
      <name val="Arial Nova Cond"/>
      <family val="2"/>
    </font>
    <font>
      <i/>
      <sz val="10"/>
      <color theme="1"/>
      <name val="Calibri"/>
      <family val="2"/>
      <scheme val="minor"/>
    </font>
    <font>
      <b/>
      <i/>
      <sz val="9"/>
      <color rgb="FFFFFFFF"/>
      <name val="Arial"/>
      <family val="2"/>
    </font>
    <font>
      <i/>
      <sz val="9"/>
      <color rgb="FF002060"/>
      <name val="Arial"/>
      <family val="2"/>
    </font>
    <font>
      <i/>
      <sz val="9"/>
      <color theme="1"/>
      <name val="Arial"/>
      <family val="2"/>
    </font>
    <font>
      <i/>
      <sz val="9"/>
      <color rgb="FF7F7F7F"/>
      <name val="Arial"/>
      <family val="2"/>
    </font>
    <font>
      <b/>
      <i/>
      <sz val="9"/>
      <color theme="1"/>
      <name val="Arial"/>
      <family val="2"/>
    </font>
    <font>
      <i/>
      <sz val="9"/>
      <color theme="1"/>
      <name val="Calibri"/>
      <family val="2"/>
      <scheme val="minor"/>
    </font>
    <font>
      <b/>
      <i/>
      <sz val="10"/>
      <name val="Calibri Light"/>
      <family val="2"/>
    </font>
    <font>
      <b/>
      <u/>
      <sz val="10"/>
      <name val="Calibri Light"/>
      <family val="2"/>
    </font>
    <font>
      <b/>
      <sz val="10"/>
      <name val="Arial Nova Cond"/>
      <family val="2"/>
    </font>
    <font>
      <b/>
      <i/>
      <sz val="9"/>
      <color rgb="FFA5A5A5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0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DD6EE"/>
        <bgColor rgb="FFBDD6EE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BDD6EE"/>
      </patternFill>
    </fill>
    <fill>
      <patternFill patternType="solid">
        <fgColor theme="0"/>
        <bgColor rgb="FFD8D8D8"/>
      </patternFill>
    </fill>
    <fill>
      <patternFill patternType="solid">
        <fgColor rgb="FF4668A6"/>
        <bgColor rgb="FF548135"/>
      </patternFill>
    </fill>
    <fill>
      <patternFill patternType="solid">
        <fgColor rgb="FF4668A6"/>
        <bgColor indexed="64"/>
      </patternFill>
    </fill>
    <fill>
      <patternFill patternType="solid">
        <fgColor rgb="FF6CACDA"/>
        <bgColor indexed="64"/>
      </patternFill>
    </fill>
    <fill>
      <patternFill patternType="solid">
        <fgColor rgb="FF6CACDA"/>
        <bgColor theme="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6C9EC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9713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E8E8E8"/>
        <bgColor rgb="FF000000"/>
      </patternFill>
    </fill>
    <fill>
      <patternFill patternType="solid">
        <fgColor rgb="FF196B24"/>
        <bgColor rgb="FF000000"/>
      </patternFill>
    </fill>
    <fill>
      <patternFill patternType="solid">
        <fgColor rgb="FFC1F0C8"/>
        <bgColor rgb="FF000000"/>
      </patternFill>
    </fill>
    <fill>
      <patternFill patternType="solid">
        <fgColor rgb="FF44546A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rgb="FFFFFFFF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5E8AB4"/>
        <bgColor rgb="FF000000"/>
      </patternFill>
    </fill>
    <fill>
      <patternFill patternType="solid">
        <fgColor rgb="FFAEFDEA"/>
        <bgColor rgb="FF000000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EB8D1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D9D9D9"/>
      </right>
      <top/>
      <bottom/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D9D9D9"/>
      </right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2">
    <xf numFmtId="0" fontId="0" fillId="0" borderId="0"/>
    <xf numFmtId="44" fontId="44" fillId="0" borderId="0" applyFont="0" applyFill="0" applyBorder="0" applyAlignment="0" applyProtection="0"/>
    <xf numFmtId="0" fontId="47" fillId="0" borderId="1"/>
    <xf numFmtId="9" fontId="49" fillId="0" borderId="1" applyFont="0" applyFill="0" applyBorder="0" applyAlignment="0" applyProtection="0"/>
    <xf numFmtId="0" fontId="7" fillId="0" borderId="1"/>
    <xf numFmtId="9" fontId="7" fillId="0" borderId="1" applyFont="0" applyFill="0" applyBorder="0" applyAlignment="0" applyProtection="0"/>
    <xf numFmtId="0" fontId="7" fillId="0" borderId="1"/>
    <xf numFmtId="0" fontId="60" fillId="0" borderId="1"/>
    <xf numFmtId="179" fontId="49" fillId="0" borderId="1" applyFont="0" applyFill="0" applyBorder="0" applyAlignment="0" applyProtection="0"/>
    <xf numFmtId="180" fontId="49" fillId="0" borderId="1" applyFont="0" applyFill="0" applyBorder="0" applyAlignment="0" applyProtection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37" fontId="49" fillId="0" borderId="1"/>
    <xf numFmtId="0" fontId="6" fillId="0" borderId="1"/>
    <xf numFmtId="44" fontId="6" fillId="0" borderId="1" applyFont="0" applyFill="0" applyBorder="0" applyAlignment="0" applyProtection="0"/>
    <xf numFmtId="9" fontId="68" fillId="0" borderId="1" applyFont="0" applyFill="0" applyBorder="0" applyAlignment="0" applyProtection="0"/>
    <xf numFmtId="179" fontId="68" fillId="0" borderId="1" applyFont="0" applyFill="0" applyBorder="0" applyAlignment="0" applyProtection="0"/>
    <xf numFmtId="0" fontId="5" fillId="0" borderId="1"/>
    <xf numFmtId="44" fontId="5" fillId="0" borderId="1" applyFont="0" applyFill="0" applyBorder="0" applyAlignment="0" applyProtection="0"/>
    <xf numFmtId="0" fontId="49" fillId="0" borderId="1"/>
    <xf numFmtId="0" fontId="4" fillId="0" borderId="1"/>
    <xf numFmtId="9" fontId="4" fillId="0" borderId="1" applyFont="0" applyFill="0" applyBorder="0" applyAlignment="0" applyProtection="0"/>
    <xf numFmtId="0" fontId="104" fillId="0" borderId="1"/>
    <xf numFmtId="0" fontId="3" fillId="0" borderId="1"/>
    <xf numFmtId="44" fontId="3" fillId="0" borderId="1" applyFont="0" applyFill="0" applyBorder="0" applyAlignment="0" applyProtection="0"/>
    <xf numFmtId="0" fontId="106" fillId="0" borderId="1" applyNumberFormat="0" applyFill="0" applyBorder="0" applyAlignment="0" applyProtection="0"/>
    <xf numFmtId="43" fontId="3" fillId="0" borderId="1" applyFont="0" applyFill="0" applyBorder="0" applyAlignment="0" applyProtection="0"/>
    <xf numFmtId="43" fontId="104" fillId="0" borderId="1" applyFont="0" applyFill="0" applyBorder="0" applyAlignment="0" applyProtection="0"/>
    <xf numFmtId="0" fontId="112" fillId="0" borderId="1" applyNumberFormat="0" applyFill="0" applyBorder="0" applyAlignment="0" applyProtection="0"/>
    <xf numFmtId="0" fontId="2" fillId="0" borderId="1"/>
    <xf numFmtId="9" fontId="2" fillId="0" borderId="1" applyFont="0" applyFill="0" applyBorder="0" applyAlignment="0" applyProtection="0"/>
    <xf numFmtId="0" fontId="117" fillId="0" borderId="1"/>
  </cellStyleXfs>
  <cellXfs count="675">
    <xf numFmtId="0" fontId="0" fillId="0" borderId="0" xfId="0"/>
    <xf numFmtId="0" fontId="8" fillId="2" borderId="1" xfId="0" applyFont="1" applyFill="1" applyBorder="1"/>
    <xf numFmtId="0" fontId="9" fillId="2" borderId="1" xfId="0" applyFont="1" applyFill="1" applyBorder="1" applyAlignment="1">
      <alignment horizontal="right"/>
    </xf>
    <xf numFmtId="0" fontId="11" fillId="2" borderId="1" xfId="0" applyFont="1" applyFill="1" applyBorder="1"/>
    <xf numFmtId="164" fontId="10" fillId="2" borderId="1" xfId="0" applyNumberFormat="1" applyFont="1" applyFill="1" applyBorder="1"/>
    <xf numFmtId="0" fontId="11" fillId="2" borderId="3" xfId="0" applyFont="1" applyFill="1" applyBorder="1" applyAlignment="1">
      <alignment horizontal="right"/>
    </xf>
    <xf numFmtId="165" fontId="10" fillId="2" borderId="3" xfId="0" applyNumberFormat="1" applyFont="1" applyFill="1" applyBorder="1"/>
    <xf numFmtId="0" fontId="8" fillId="2" borderId="3" xfId="0" applyFont="1" applyFill="1" applyBorder="1"/>
    <xf numFmtId="166" fontId="9" fillId="2" borderId="1" xfId="0" applyNumberFormat="1" applyFont="1" applyFill="1" applyBorder="1" applyAlignment="1">
      <alignment horizontal="right"/>
    </xf>
    <xf numFmtId="167" fontId="10" fillId="2" borderId="1" xfId="0" applyNumberFormat="1" applyFont="1" applyFill="1" applyBorder="1"/>
    <xf numFmtId="0" fontId="11" fillId="2" borderId="1" xfId="0" applyFont="1" applyFill="1" applyBorder="1" applyAlignment="1">
      <alignment horizontal="right"/>
    </xf>
    <xf numFmtId="166" fontId="11" fillId="2" borderId="1" xfId="0" applyNumberFormat="1" applyFont="1" applyFill="1" applyBorder="1" applyAlignment="1">
      <alignment horizontal="right"/>
    </xf>
    <xf numFmtId="0" fontId="12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/>
    </xf>
    <xf numFmtId="167" fontId="10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169" fontId="8" fillId="2" borderId="1" xfId="0" applyNumberFormat="1" applyFont="1" applyFill="1" applyBorder="1" applyAlignment="1">
      <alignment horizontal="right"/>
    </xf>
    <xf numFmtId="0" fontId="8" fillId="2" borderId="1" xfId="0" applyFont="1" applyFill="1" applyBorder="1" applyAlignment="1">
      <alignment horizontal="right"/>
    </xf>
    <xf numFmtId="10" fontId="8" fillId="2" borderId="1" xfId="0" applyNumberFormat="1" applyFont="1" applyFill="1" applyBorder="1"/>
    <xf numFmtId="0" fontId="9" fillId="2" borderId="1" xfId="0" applyFont="1" applyFill="1" applyBorder="1"/>
    <xf numFmtId="0" fontId="8" fillId="2" borderId="1" xfId="0" applyFont="1" applyFill="1" applyBorder="1" applyAlignment="1">
      <alignment horizontal="center"/>
    </xf>
    <xf numFmtId="171" fontId="10" fillId="2" borderId="1" xfId="0" applyNumberFormat="1" applyFont="1" applyFill="1" applyBorder="1"/>
    <xf numFmtId="9" fontId="15" fillId="2" borderId="1" xfId="0" applyNumberFormat="1" applyFont="1" applyFill="1" applyBorder="1"/>
    <xf numFmtId="10" fontId="10" fillId="2" borderId="1" xfId="0" applyNumberFormat="1" applyFont="1" applyFill="1" applyBorder="1"/>
    <xf numFmtId="0" fontId="10" fillId="2" borderId="1" xfId="0" applyFont="1" applyFill="1" applyBorder="1"/>
    <xf numFmtId="3" fontId="10" fillId="2" borderId="1" xfId="0" applyNumberFormat="1" applyFont="1" applyFill="1" applyBorder="1"/>
    <xf numFmtId="0" fontId="18" fillId="0" borderId="0" xfId="0" applyFont="1"/>
    <xf numFmtId="0" fontId="18" fillId="0" borderId="0" xfId="0" applyFont="1" applyAlignment="1">
      <alignment horizontal="right"/>
    </xf>
    <xf numFmtId="171" fontId="18" fillId="0" borderId="0" xfId="0" applyNumberFormat="1" applyFont="1"/>
    <xf numFmtId="169" fontId="19" fillId="0" borderId="0" xfId="0" applyNumberFormat="1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66" fontId="21" fillId="2" borderId="1" xfId="0" applyNumberFormat="1" applyFont="1" applyFill="1" applyBorder="1" applyAlignment="1">
      <alignment horizontal="right"/>
    </xf>
    <xf numFmtId="166" fontId="22" fillId="2" borderId="1" xfId="0" applyNumberFormat="1" applyFont="1" applyFill="1" applyBorder="1" applyAlignment="1">
      <alignment horizontal="right"/>
    </xf>
    <xf numFmtId="172" fontId="22" fillId="2" borderId="1" xfId="0" applyNumberFormat="1" applyFont="1" applyFill="1" applyBorder="1" applyAlignment="1">
      <alignment horizontal="right"/>
    </xf>
    <xf numFmtId="0" fontId="22" fillId="0" borderId="0" xfId="0" applyFont="1"/>
    <xf numFmtId="0" fontId="23" fillId="0" borderId="0" xfId="0" applyFont="1" applyAlignment="1">
      <alignment horizontal="right"/>
    </xf>
    <xf numFmtId="166" fontId="22" fillId="0" borderId="0" xfId="0" applyNumberFormat="1" applyFont="1" applyAlignment="1">
      <alignment horizontal="right"/>
    </xf>
    <xf numFmtId="0" fontId="18" fillId="0" borderId="0" xfId="0" applyFont="1" applyAlignment="1">
      <alignment horizontal="left"/>
    </xf>
    <xf numFmtId="166" fontId="18" fillId="2" borderId="1" xfId="0" applyNumberFormat="1" applyFont="1" applyFill="1" applyBorder="1" applyAlignment="1">
      <alignment horizontal="right"/>
    </xf>
    <xf numFmtId="0" fontId="24" fillId="0" borderId="0" xfId="0" applyFont="1" applyAlignment="1">
      <alignment horizontal="left"/>
    </xf>
    <xf numFmtId="172" fontId="25" fillId="2" borderId="1" xfId="0" applyNumberFormat="1" applyFont="1" applyFill="1" applyBorder="1" applyAlignment="1">
      <alignment horizontal="right"/>
    </xf>
    <xf numFmtId="10" fontId="24" fillId="2" borderId="1" xfId="0" applyNumberFormat="1" applyFont="1" applyFill="1" applyBorder="1" applyAlignment="1">
      <alignment horizontal="right"/>
    </xf>
    <xf numFmtId="166" fontId="26" fillId="2" borderId="1" xfId="0" applyNumberFormat="1" applyFont="1" applyFill="1" applyBorder="1" applyAlignment="1">
      <alignment horizontal="right"/>
    </xf>
    <xf numFmtId="10" fontId="22" fillId="0" borderId="0" xfId="0" applyNumberFormat="1" applyFont="1" applyAlignment="1">
      <alignment horizontal="right"/>
    </xf>
    <xf numFmtId="166" fontId="23" fillId="2" borderId="1" xfId="0" applyNumberFormat="1" applyFont="1" applyFill="1" applyBorder="1" applyAlignment="1">
      <alignment horizontal="right"/>
    </xf>
    <xf numFmtId="171" fontId="18" fillId="0" borderId="0" xfId="0" applyNumberFormat="1" applyFont="1" applyAlignment="1">
      <alignment horizontal="right"/>
    </xf>
    <xf numFmtId="172" fontId="23" fillId="0" borderId="0" xfId="0" applyNumberFormat="1" applyFont="1" applyAlignment="1">
      <alignment horizontal="left"/>
    </xf>
    <xf numFmtId="172" fontId="22" fillId="0" borderId="0" xfId="0" applyNumberFormat="1" applyFont="1" applyAlignment="1">
      <alignment horizontal="left"/>
    </xf>
    <xf numFmtId="173" fontId="22" fillId="0" borderId="0" xfId="0" applyNumberFormat="1" applyFont="1" applyAlignment="1">
      <alignment horizontal="right"/>
    </xf>
    <xf numFmtId="167" fontId="22" fillId="0" borderId="0" xfId="0" applyNumberFormat="1" applyFont="1" applyAlignment="1">
      <alignment horizontal="right"/>
    </xf>
    <xf numFmtId="166" fontId="21" fillId="0" borderId="0" xfId="0" applyNumberFormat="1" applyFont="1"/>
    <xf numFmtId="171" fontId="23" fillId="0" borderId="0" xfId="0" applyNumberFormat="1" applyFont="1" applyAlignment="1">
      <alignment horizontal="right"/>
    </xf>
    <xf numFmtId="0" fontId="20" fillId="0" borderId="0" xfId="0" applyFont="1"/>
    <xf numFmtId="166" fontId="20" fillId="0" borderId="0" xfId="0" applyNumberFormat="1" applyFont="1"/>
    <xf numFmtId="0" fontId="18" fillId="2" borderId="1" xfId="0" applyFont="1" applyFill="1" applyBorder="1"/>
    <xf numFmtId="0" fontId="23" fillId="2" borderId="1" xfId="0" applyFont="1" applyFill="1" applyBorder="1"/>
    <xf numFmtId="0" fontId="18" fillId="2" borderId="1" xfId="0" applyFont="1" applyFill="1" applyBorder="1" applyAlignment="1">
      <alignment horizontal="right"/>
    </xf>
    <xf numFmtId="171" fontId="18" fillId="2" borderId="1" xfId="0" applyNumberFormat="1" applyFont="1" applyFill="1" applyBorder="1"/>
    <xf numFmtId="0" fontId="22" fillId="2" borderId="1" xfId="0" applyFont="1" applyFill="1" applyBorder="1"/>
    <xf numFmtId="0" fontId="20" fillId="2" borderId="1" xfId="0" applyFont="1" applyFill="1" applyBorder="1"/>
    <xf numFmtId="166" fontId="20" fillId="2" borderId="1" xfId="0" applyNumberFormat="1" applyFont="1" applyFill="1" applyBorder="1" applyAlignment="1">
      <alignment horizontal="right"/>
    </xf>
    <xf numFmtId="0" fontId="18" fillId="2" borderId="1" xfId="0" applyFont="1" applyFill="1" applyBorder="1" applyAlignment="1">
      <alignment horizontal="left"/>
    </xf>
    <xf numFmtId="0" fontId="20" fillId="2" borderId="5" xfId="0" applyFont="1" applyFill="1" applyBorder="1"/>
    <xf numFmtId="0" fontId="21" fillId="2" borderId="5" xfId="0" applyFont="1" applyFill="1" applyBorder="1"/>
    <xf numFmtId="166" fontId="21" fillId="2" borderId="5" xfId="0" applyNumberFormat="1" applyFont="1" applyFill="1" applyBorder="1"/>
    <xf numFmtId="166" fontId="20" fillId="2" borderId="5" xfId="0" applyNumberFormat="1" applyFont="1" applyFill="1" applyBorder="1"/>
    <xf numFmtId="0" fontId="22" fillId="2" borderId="1" xfId="0" applyFont="1" applyFill="1" applyBorder="1" applyAlignment="1">
      <alignment horizontal="left"/>
    </xf>
    <xf numFmtId="0" fontId="21" fillId="2" borderId="1" xfId="0" applyFont="1" applyFill="1" applyBorder="1"/>
    <xf numFmtId="174" fontId="18" fillId="2" borderId="1" xfId="0" applyNumberFormat="1" applyFont="1" applyFill="1" applyBorder="1" applyAlignment="1">
      <alignment horizontal="right"/>
    </xf>
    <xf numFmtId="166" fontId="27" fillId="2" borderId="1" xfId="0" applyNumberFormat="1" applyFont="1" applyFill="1" applyBorder="1" applyAlignment="1">
      <alignment horizontal="right"/>
    </xf>
    <xf numFmtId="0" fontId="18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/>
    </xf>
    <xf numFmtId="0" fontId="28" fillId="2" borderId="1" xfId="0" applyFont="1" applyFill="1" applyBorder="1"/>
    <xf numFmtId="0" fontId="29" fillId="2" borderId="1" xfId="0" applyFont="1" applyFill="1" applyBorder="1"/>
    <xf numFmtId="166" fontId="18" fillId="2" borderId="1" xfId="0" applyNumberFormat="1" applyFont="1" applyFill="1" applyBorder="1" applyAlignment="1">
      <alignment horizontal="center"/>
    </xf>
    <xf numFmtId="10" fontId="30" fillId="2" borderId="1" xfId="0" applyNumberFormat="1" applyFont="1" applyFill="1" applyBorder="1" applyAlignment="1">
      <alignment horizontal="right"/>
    </xf>
    <xf numFmtId="166" fontId="20" fillId="2" borderId="5" xfId="0" applyNumberFormat="1" applyFont="1" applyFill="1" applyBorder="1" applyAlignment="1">
      <alignment horizontal="center"/>
    </xf>
    <xf numFmtId="166" fontId="22" fillId="2" borderId="1" xfId="0" applyNumberFormat="1" applyFont="1" applyFill="1" applyBorder="1" applyAlignment="1">
      <alignment horizontal="center"/>
    </xf>
    <xf numFmtId="10" fontId="22" fillId="2" borderId="1" xfId="0" applyNumberFormat="1" applyFont="1" applyFill="1" applyBorder="1"/>
    <xf numFmtId="10" fontId="18" fillId="2" borderId="1" xfId="0" applyNumberFormat="1" applyFont="1" applyFill="1" applyBorder="1" applyAlignment="1">
      <alignment horizontal="right"/>
    </xf>
    <xf numFmtId="166" fontId="20" fillId="2" borderId="5" xfId="0" applyNumberFormat="1" applyFont="1" applyFill="1" applyBorder="1" applyAlignment="1">
      <alignment horizontal="right"/>
    </xf>
    <xf numFmtId="166" fontId="23" fillId="2" borderId="1" xfId="0" applyNumberFormat="1" applyFont="1" applyFill="1" applyBorder="1"/>
    <xf numFmtId="166" fontId="22" fillId="2" borderId="1" xfId="0" applyNumberFormat="1" applyFont="1" applyFill="1" applyBorder="1"/>
    <xf numFmtId="0" fontId="31" fillId="2" borderId="1" xfId="0" applyFont="1" applyFill="1" applyBorder="1" applyAlignment="1">
      <alignment horizontal="left" vertical="center"/>
    </xf>
    <xf numFmtId="166" fontId="21" fillId="2" borderId="1" xfId="0" applyNumberFormat="1" applyFont="1" applyFill="1" applyBorder="1"/>
    <xf numFmtId="166" fontId="20" fillId="2" borderId="1" xfId="0" applyNumberFormat="1" applyFont="1" applyFill="1" applyBorder="1"/>
    <xf numFmtId="0" fontId="32" fillId="2" borderId="1" xfId="0" applyFont="1" applyFill="1" applyBorder="1" applyAlignment="1">
      <alignment horizontal="left" vertical="center"/>
    </xf>
    <xf numFmtId="167" fontId="33" fillId="2" borderId="1" xfId="0" applyNumberFormat="1" applyFont="1" applyFill="1" applyBorder="1" applyAlignment="1">
      <alignment vertical="center"/>
    </xf>
    <xf numFmtId="167" fontId="32" fillId="4" borderId="1" xfId="0" applyNumberFormat="1" applyFont="1" applyFill="1" applyBorder="1" applyAlignment="1">
      <alignment vertical="center"/>
    </xf>
    <xf numFmtId="167" fontId="32" fillId="2" borderId="1" xfId="0" applyNumberFormat="1" applyFont="1" applyFill="1" applyBorder="1" applyAlignment="1">
      <alignment vertical="center"/>
    </xf>
    <xf numFmtId="167" fontId="22" fillId="4" borderId="1" xfId="0" applyNumberFormat="1" applyFont="1" applyFill="1" applyBorder="1" applyAlignment="1">
      <alignment horizontal="right"/>
    </xf>
    <xf numFmtId="167" fontId="32" fillId="2" borderId="1" xfId="0" applyNumberFormat="1" applyFont="1" applyFill="1" applyBorder="1"/>
    <xf numFmtId="0" fontId="34" fillId="2" borderId="1" xfId="0" applyFont="1" applyFill="1" applyBorder="1" applyAlignment="1">
      <alignment horizontal="left" vertical="center"/>
    </xf>
    <xf numFmtId="167" fontId="33" fillId="2" borderId="1" xfId="0" applyNumberFormat="1" applyFont="1" applyFill="1" applyBorder="1"/>
    <xf numFmtId="171" fontId="33" fillId="2" borderId="1" xfId="0" applyNumberFormat="1" applyFont="1" applyFill="1" applyBorder="1" applyAlignment="1">
      <alignment vertical="center"/>
    </xf>
    <xf numFmtId="171" fontId="34" fillId="2" borderId="1" xfId="0" applyNumberFormat="1" applyFont="1" applyFill="1" applyBorder="1" applyAlignment="1">
      <alignment vertical="center"/>
    </xf>
    <xf numFmtId="1" fontId="22" fillId="2" borderId="1" xfId="0" applyNumberFormat="1" applyFont="1" applyFill="1" applyBorder="1" applyAlignment="1">
      <alignment horizontal="center"/>
    </xf>
    <xf numFmtId="175" fontId="8" fillId="2" borderId="1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166" fontId="21" fillId="2" borderId="6" xfId="0" applyNumberFormat="1" applyFont="1" applyFill="1" applyBorder="1"/>
    <xf numFmtId="0" fontId="36" fillId="2" borderId="1" xfId="0" applyFont="1" applyFill="1" applyBorder="1"/>
    <xf numFmtId="0" fontId="8" fillId="0" borderId="0" xfId="0" applyFont="1"/>
    <xf numFmtId="171" fontId="9" fillId="2" borderId="1" xfId="0" applyNumberFormat="1" applyFont="1" applyFill="1" applyBorder="1"/>
    <xf numFmtId="166" fontId="8" fillId="0" borderId="0" xfId="0" applyNumberFormat="1" applyFont="1" applyAlignment="1">
      <alignment horizontal="center"/>
    </xf>
    <xf numFmtId="0" fontId="39" fillId="2" borderId="1" xfId="0" applyFont="1" applyFill="1" applyBorder="1"/>
    <xf numFmtId="167" fontId="9" fillId="2" borderId="1" xfId="0" applyNumberFormat="1" applyFont="1" applyFill="1" applyBorder="1" applyAlignment="1">
      <alignment horizontal="center"/>
    </xf>
    <xf numFmtId="166" fontId="8" fillId="2" borderId="1" xfId="0" applyNumberFormat="1" applyFont="1" applyFill="1" applyBorder="1"/>
    <xf numFmtId="166" fontId="8" fillId="5" borderId="1" xfId="0" applyNumberFormat="1" applyFont="1" applyFill="1" applyBorder="1"/>
    <xf numFmtId="166" fontId="40" fillId="2" borderId="1" xfId="0" applyNumberFormat="1" applyFont="1" applyFill="1" applyBorder="1"/>
    <xf numFmtId="166" fontId="40" fillId="2" borderId="1" xfId="0" applyNumberFormat="1" applyFont="1" applyFill="1" applyBorder="1" applyAlignment="1">
      <alignment horizontal="right"/>
    </xf>
    <xf numFmtId="167" fontId="40" fillId="2" borderId="1" xfId="0" applyNumberFormat="1" applyFont="1" applyFill="1" applyBorder="1" applyAlignment="1">
      <alignment horizontal="center"/>
    </xf>
    <xf numFmtId="172" fontId="20" fillId="2" borderId="1" xfId="0" applyNumberFormat="1" applyFont="1" applyFill="1" applyBorder="1" applyAlignment="1">
      <alignment horizontal="left"/>
    </xf>
    <xf numFmtId="167" fontId="20" fillId="5" borderId="5" xfId="0" applyNumberFormat="1" applyFont="1" applyFill="1" applyBorder="1" applyAlignment="1">
      <alignment horizontal="center"/>
    </xf>
    <xf numFmtId="166" fontId="41" fillId="2" borderId="1" xfId="0" applyNumberFormat="1" applyFont="1" applyFill="1" applyBorder="1" applyAlignment="1">
      <alignment horizontal="right"/>
    </xf>
    <xf numFmtId="0" fontId="20" fillId="2" borderId="5" xfId="0" applyFont="1" applyFill="1" applyBorder="1" applyAlignment="1">
      <alignment horizontal="center"/>
    </xf>
    <xf numFmtId="166" fontId="21" fillId="2" borderId="5" xfId="0" applyNumberFormat="1" applyFont="1" applyFill="1" applyBorder="1" applyAlignment="1">
      <alignment horizontal="center"/>
    </xf>
    <xf numFmtId="176" fontId="20" fillId="2" borderId="5" xfId="0" applyNumberFormat="1" applyFont="1" applyFill="1" applyBorder="1" applyAlignment="1">
      <alignment horizontal="center"/>
    </xf>
    <xf numFmtId="166" fontId="20" fillId="2" borderId="7" xfId="0" applyNumberFormat="1" applyFont="1" applyFill="1" applyBorder="1"/>
    <xf numFmtId="0" fontId="20" fillId="2" borderId="1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center"/>
    </xf>
    <xf numFmtId="0" fontId="20" fillId="2" borderId="7" xfId="0" applyFont="1" applyFill="1" applyBorder="1"/>
    <xf numFmtId="0" fontId="22" fillId="2" borderId="7" xfId="0" applyFont="1" applyFill="1" applyBorder="1"/>
    <xf numFmtId="166" fontId="20" fillId="2" borderId="3" xfId="0" applyNumberFormat="1" applyFont="1" applyFill="1" applyBorder="1"/>
    <xf numFmtId="0" fontId="22" fillId="2" borderId="3" xfId="0" applyFont="1" applyFill="1" applyBorder="1"/>
    <xf numFmtId="166" fontId="22" fillId="2" borderId="2" xfId="0" applyNumberFormat="1" applyFont="1" applyFill="1" applyBorder="1"/>
    <xf numFmtId="0" fontId="22" fillId="2" borderId="2" xfId="0" applyFont="1" applyFill="1" applyBorder="1"/>
    <xf numFmtId="166" fontId="22" fillId="2" borderId="2" xfId="0" applyNumberFormat="1" applyFont="1" applyFill="1" applyBorder="1" applyAlignment="1">
      <alignment horizontal="right"/>
    </xf>
    <xf numFmtId="166" fontId="20" fillId="2" borderId="2" xfId="0" applyNumberFormat="1" applyFont="1" applyFill="1" applyBorder="1"/>
    <xf numFmtId="166" fontId="20" fillId="2" borderId="4" xfId="0" applyNumberFormat="1" applyFont="1" applyFill="1" applyBorder="1"/>
    <xf numFmtId="0" fontId="42" fillId="2" borderId="1" xfId="0" applyFont="1" applyFill="1" applyBorder="1"/>
    <xf numFmtId="0" fontId="42" fillId="2" borderId="1" xfId="0" applyFont="1" applyFill="1" applyBorder="1" applyAlignment="1">
      <alignment horizontal="left"/>
    </xf>
    <xf numFmtId="10" fontId="42" fillId="2" borderId="1" xfId="0" applyNumberFormat="1" applyFont="1" applyFill="1" applyBorder="1"/>
    <xf numFmtId="10" fontId="43" fillId="2" borderId="1" xfId="0" applyNumberFormat="1" applyFont="1" applyFill="1" applyBorder="1"/>
    <xf numFmtId="168" fontId="42" fillId="2" borderId="1" xfId="0" applyNumberFormat="1" applyFont="1" applyFill="1" applyBorder="1"/>
    <xf numFmtId="4" fontId="43" fillId="2" borderId="1" xfId="0" applyNumberFormat="1" applyFont="1" applyFill="1" applyBorder="1"/>
    <xf numFmtId="44" fontId="12" fillId="2" borderId="1" xfId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0" fontId="45" fillId="0" borderId="0" xfId="0" applyFont="1"/>
    <xf numFmtId="0" fontId="0" fillId="6" borderId="0" xfId="0" applyFill="1"/>
    <xf numFmtId="166" fontId="19" fillId="2" borderId="1" xfId="0" applyNumberFormat="1" applyFont="1" applyFill="1" applyBorder="1" applyAlignment="1">
      <alignment horizontal="right"/>
    </xf>
    <xf numFmtId="167" fontId="22" fillId="7" borderId="1" xfId="0" applyNumberFormat="1" applyFont="1" applyFill="1" applyBorder="1"/>
    <xf numFmtId="167" fontId="22" fillId="8" borderId="1" xfId="0" applyNumberFormat="1" applyFont="1" applyFill="1" applyBorder="1"/>
    <xf numFmtId="0" fontId="16" fillId="9" borderId="1" xfId="0" applyFont="1" applyFill="1" applyBorder="1"/>
    <xf numFmtId="0" fontId="17" fillId="9" borderId="1" xfId="0" applyFont="1" applyFill="1" applyBorder="1"/>
    <xf numFmtId="0" fontId="0" fillId="10" borderId="0" xfId="0" applyFill="1"/>
    <xf numFmtId="0" fontId="50" fillId="11" borderId="0" xfId="0" applyFont="1" applyFill="1"/>
    <xf numFmtId="0" fontId="50" fillId="11" borderId="0" xfId="0" applyFont="1" applyFill="1" applyAlignment="1">
      <alignment horizontal="right"/>
    </xf>
    <xf numFmtId="0" fontId="51" fillId="11" borderId="0" xfId="0" applyFont="1" applyFill="1"/>
    <xf numFmtId="171" fontId="50" fillId="11" borderId="0" xfId="0" applyNumberFormat="1" applyFont="1" applyFill="1"/>
    <xf numFmtId="0" fontId="50" fillId="12" borderId="1" xfId="0" applyFont="1" applyFill="1" applyBorder="1"/>
    <xf numFmtId="0" fontId="50" fillId="12" borderId="1" xfId="0" applyFont="1" applyFill="1" applyBorder="1" applyAlignment="1">
      <alignment horizontal="right"/>
    </xf>
    <xf numFmtId="171" fontId="50" fillId="12" borderId="1" xfId="0" applyNumberFormat="1" applyFont="1" applyFill="1" applyBorder="1"/>
    <xf numFmtId="0" fontId="23" fillId="9" borderId="1" xfId="0" applyFont="1" applyFill="1" applyBorder="1"/>
    <xf numFmtId="0" fontId="22" fillId="10" borderId="0" xfId="0" applyFont="1" applyFill="1"/>
    <xf numFmtId="0" fontId="37" fillId="9" borderId="1" xfId="0" applyFont="1" applyFill="1" applyBorder="1"/>
    <xf numFmtId="0" fontId="38" fillId="9" borderId="1" xfId="0" applyFont="1" applyFill="1" applyBorder="1"/>
    <xf numFmtId="0" fontId="53" fillId="2" borderId="1" xfId="0" applyFont="1" applyFill="1" applyBorder="1"/>
    <xf numFmtId="0" fontId="53" fillId="12" borderId="1" xfId="0" applyFont="1" applyFill="1" applyBorder="1"/>
    <xf numFmtId="0" fontId="53" fillId="12" borderId="1" xfId="0" applyFont="1" applyFill="1" applyBorder="1" applyAlignment="1">
      <alignment horizontal="center"/>
    </xf>
    <xf numFmtId="0" fontId="54" fillId="11" borderId="0" xfId="0" applyFont="1" applyFill="1"/>
    <xf numFmtId="171" fontId="53" fillId="12" borderId="1" xfId="0" applyNumberFormat="1" applyFont="1" applyFill="1" applyBorder="1" applyAlignment="1">
      <alignment horizontal="center"/>
    </xf>
    <xf numFmtId="171" fontId="53" fillId="12" borderId="1" xfId="0" applyNumberFormat="1" applyFont="1" applyFill="1" applyBorder="1"/>
    <xf numFmtId="0" fontId="55" fillId="6" borderId="0" xfId="0" applyFont="1" applyFill="1"/>
    <xf numFmtId="0" fontId="56" fillId="6" borderId="1" xfId="2" applyFont="1" applyFill="1" applyAlignment="1">
      <alignment horizontal="center"/>
    </xf>
    <xf numFmtId="166" fontId="53" fillId="2" borderId="1" xfId="0" applyNumberFormat="1" applyFont="1" applyFill="1" applyBorder="1" applyAlignment="1">
      <alignment horizontal="right"/>
    </xf>
    <xf numFmtId="44" fontId="53" fillId="2" borderId="1" xfId="1" applyFont="1" applyFill="1" applyBorder="1" applyAlignment="1">
      <alignment horizontal="right"/>
    </xf>
    <xf numFmtId="166" fontId="52" fillId="0" borderId="1" xfId="0" applyNumberFormat="1" applyFont="1" applyBorder="1" applyAlignment="1">
      <alignment horizontal="center"/>
    </xf>
    <xf numFmtId="0" fontId="57" fillId="13" borderId="1" xfId="4" applyFont="1" applyFill="1"/>
    <xf numFmtId="0" fontId="57" fillId="13" borderId="1" xfId="4" applyFont="1" applyFill="1" applyAlignment="1">
      <alignment horizontal="center"/>
    </xf>
    <xf numFmtId="0" fontId="45" fillId="6" borderId="1" xfId="4" applyFont="1" applyFill="1"/>
    <xf numFmtId="0" fontId="58" fillId="6" borderId="1" xfId="4" applyFont="1" applyFill="1"/>
    <xf numFmtId="0" fontId="59" fillId="6" borderId="1" xfId="4" applyFont="1" applyFill="1"/>
    <xf numFmtId="0" fontId="45" fillId="0" borderId="1" xfId="6" applyFont="1"/>
    <xf numFmtId="166" fontId="49" fillId="6" borderId="1" xfId="7" applyNumberFormat="1" applyFont="1" applyFill="1" applyAlignment="1">
      <alignment horizontal="center" vertical="center"/>
    </xf>
    <xf numFmtId="178" fontId="49" fillId="6" borderId="1" xfId="7" applyNumberFormat="1" applyFont="1" applyFill="1" applyAlignment="1">
      <alignment horizontal="center" vertical="center"/>
    </xf>
    <xf numFmtId="0" fontId="58" fillId="6" borderId="1" xfId="4" applyFont="1" applyFill="1" applyAlignment="1">
      <alignment horizontal="left" indent="1"/>
    </xf>
    <xf numFmtId="0" fontId="58" fillId="6" borderId="1" xfId="4" applyFont="1" applyFill="1" applyAlignment="1">
      <alignment horizontal="center"/>
    </xf>
    <xf numFmtId="169" fontId="58" fillId="6" borderId="1" xfId="4" applyNumberFormat="1" applyFont="1" applyFill="1"/>
    <xf numFmtId="0" fontId="46" fillId="0" borderId="1" xfId="6" applyFont="1"/>
    <xf numFmtId="166" fontId="61" fillId="0" borderId="1" xfId="7" applyNumberFormat="1" applyFont="1" applyAlignment="1">
      <alignment horizontal="center" vertical="center"/>
    </xf>
    <xf numFmtId="0" fontId="58" fillId="6" borderId="1" xfId="6" applyFont="1" applyFill="1"/>
    <xf numFmtId="166" fontId="58" fillId="6" borderId="1" xfId="7" applyNumberFormat="1" applyFont="1" applyFill="1" applyAlignment="1">
      <alignment horizontal="center" vertical="center"/>
    </xf>
    <xf numFmtId="166" fontId="49" fillId="0" borderId="1" xfId="7" applyNumberFormat="1" applyFont="1" applyAlignment="1">
      <alignment horizontal="center" vertical="center"/>
    </xf>
    <xf numFmtId="179" fontId="49" fillId="0" borderId="1" xfId="8" applyFont="1" applyFill="1" applyBorder="1" applyAlignment="1">
      <alignment horizontal="center" vertical="center"/>
    </xf>
    <xf numFmtId="0" fontId="62" fillId="6" borderId="1" xfId="6" applyFont="1" applyFill="1" applyAlignment="1">
      <alignment horizontal="center" vertical="center"/>
    </xf>
    <xf numFmtId="0" fontId="45" fillId="6" borderId="0" xfId="0" applyFont="1" applyFill="1"/>
    <xf numFmtId="171" fontId="63" fillId="6" borderId="1" xfId="5" applyNumberFormat="1" applyFont="1" applyFill="1" applyBorder="1"/>
    <xf numFmtId="170" fontId="49" fillId="6" borderId="0" xfId="0" applyNumberFormat="1" applyFont="1" applyFill="1"/>
    <xf numFmtId="0" fontId="65" fillId="6" borderId="1" xfId="6" applyFont="1" applyFill="1" applyAlignment="1">
      <alignment horizontal="right" vertical="center" indent="1"/>
    </xf>
    <xf numFmtId="0" fontId="66" fillId="6" borderId="0" xfId="0" applyFont="1" applyFill="1" applyAlignment="1">
      <alignment horizontal="right" indent="1"/>
    </xf>
    <xf numFmtId="0" fontId="66" fillId="6" borderId="0" xfId="0" applyFont="1" applyFill="1"/>
    <xf numFmtId="43" fontId="12" fillId="2" borderId="1" xfId="10" applyFont="1" applyFill="1" applyBorder="1" applyAlignment="1">
      <alignment horizontal="center" vertical="center"/>
    </xf>
    <xf numFmtId="169" fontId="49" fillId="6" borderId="1" xfId="12" applyNumberFormat="1" applyFill="1" applyAlignment="1">
      <alignment horizontal="right"/>
    </xf>
    <xf numFmtId="0" fontId="58" fillId="6" borderId="0" xfId="0" applyFont="1" applyFill="1" applyAlignment="1">
      <alignment horizontal="left" indent="2"/>
    </xf>
    <xf numFmtId="0" fontId="61" fillId="6" borderId="9" xfId="0" applyFont="1" applyFill="1" applyBorder="1"/>
    <xf numFmtId="0" fontId="20" fillId="0" borderId="1" xfId="0" applyFont="1" applyBorder="1"/>
    <xf numFmtId="166" fontId="21" fillId="0" borderId="1" xfId="0" applyNumberFormat="1" applyFont="1" applyBorder="1"/>
    <xf numFmtId="166" fontId="20" fillId="0" borderId="1" xfId="0" applyNumberFormat="1" applyFont="1" applyBorder="1"/>
    <xf numFmtId="0" fontId="58" fillId="0" borderId="0" xfId="0" applyFont="1" applyAlignment="1">
      <alignment horizontal="left" indent="1"/>
    </xf>
    <xf numFmtId="172" fontId="49" fillId="6" borderId="1" xfId="12" applyNumberFormat="1" applyFill="1" applyAlignment="1">
      <alignment horizontal="right"/>
    </xf>
    <xf numFmtId="166" fontId="18" fillId="0" borderId="1" xfId="0" applyNumberFormat="1" applyFont="1" applyBorder="1" applyAlignment="1">
      <alignment horizontal="center"/>
    </xf>
    <xf numFmtId="9" fontId="20" fillId="2" borderId="1" xfId="11" applyFont="1" applyFill="1" applyBorder="1"/>
    <xf numFmtId="167" fontId="58" fillId="6" borderId="1" xfId="4" applyNumberFormat="1" applyFont="1" applyFill="1"/>
    <xf numFmtId="0" fontId="52" fillId="12" borderId="2" xfId="0" applyFont="1" applyFill="1" applyBorder="1"/>
    <xf numFmtId="0" fontId="53" fillId="12" borderId="2" xfId="0" applyFont="1" applyFill="1" applyBorder="1"/>
    <xf numFmtId="0" fontId="52" fillId="12" borderId="1" xfId="0" applyFont="1" applyFill="1" applyBorder="1"/>
    <xf numFmtId="0" fontId="52" fillId="12" borderId="1" xfId="0" applyFont="1" applyFill="1" applyBorder="1" applyAlignment="1">
      <alignment horizontal="center"/>
    </xf>
    <xf numFmtId="0" fontId="52" fillId="12" borderId="2" xfId="0" applyFont="1" applyFill="1" applyBorder="1" applyAlignment="1">
      <alignment horizontal="center"/>
    </xf>
    <xf numFmtId="0" fontId="64" fillId="11" borderId="1" xfId="2" applyFont="1" applyFill="1"/>
    <xf numFmtId="0" fontId="67" fillId="11" borderId="1" xfId="2" applyFont="1" applyFill="1" applyAlignment="1">
      <alignment horizontal="center"/>
    </xf>
    <xf numFmtId="168" fontId="11" fillId="2" borderId="1" xfId="0" applyNumberFormat="1" applyFont="1" applyFill="1" applyBorder="1"/>
    <xf numFmtId="44" fontId="22" fillId="0" borderId="0" xfId="0" applyNumberFormat="1" applyFont="1"/>
    <xf numFmtId="43" fontId="8" fillId="2" borderId="1" xfId="0" applyNumberFormat="1" applyFont="1" applyFill="1" applyBorder="1"/>
    <xf numFmtId="176" fontId="21" fillId="0" borderId="1" xfId="0" applyNumberFormat="1" applyFont="1" applyBorder="1"/>
    <xf numFmtId="0" fontId="70" fillId="0" borderId="1" xfId="0" applyFont="1" applyBorder="1" applyAlignment="1">
      <alignment horizontal="left" vertical="center"/>
    </xf>
    <xf numFmtId="0" fontId="77" fillId="0" borderId="1" xfId="19" applyFont="1"/>
    <xf numFmtId="0" fontId="79" fillId="18" borderId="0" xfId="0" applyFont="1" applyFill="1"/>
    <xf numFmtId="0" fontId="79" fillId="0" borderId="0" xfId="0" applyFont="1"/>
    <xf numFmtId="0" fontId="79" fillId="19" borderId="0" xfId="0" applyFont="1" applyFill="1"/>
    <xf numFmtId="0" fontId="81" fillId="19" borderId="1" xfId="19" applyFont="1" applyFill="1"/>
    <xf numFmtId="182" fontId="81" fillId="19" borderId="1" xfId="19" applyNumberFormat="1" applyFont="1" applyFill="1"/>
    <xf numFmtId="0" fontId="82" fillId="19" borderId="0" xfId="0" applyFont="1" applyFill="1"/>
    <xf numFmtId="0" fontId="83" fillId="0" borderId="0" xfId="0" applyFont="1"/>
    <xf numFmtId="0" fontId="84" fillId="0" borderId="0" xfId="0" applyFont="1"/>
    <xf numFmtId="181" fontId="85" fillId="0" borderId="0" xfId="10" applyNumberFormat="1" applyFont="1" applyFill="1"/>
    <xf numFmtId="0" fontId="86" fillId="0" borderId="0" xfId="0" applyFont="1"/>
    <xf numFmtId="181" fontId="86" fillId="0" borderId="0" xfId="10" applyNumberFormat="1" applyFont="1" applyFill="1"/>
    <xf numFmtId="181" fontId="84" fillId="0" borderId="0" xfId="10" applyNumberFormat="1" applyFont="1" applyFill="1"/>
    <xf numFmtId="41" fontId="86" fillId="0" borderId="0" xfId="0" applyNumberFormat="1" applyFont="1"/>
    <xf numFmtId="0" fontId="88" fillId="0" borderId="0" xfId="0" applyFont="1"/>
    <xf numFmtId="0" fontId="77" fillId="19" borderId="1" xfId="19" applyFont="1" applyFill="1"/>
    <xf numFmtId="0" fontId="81" fillId="0" borderId="1" xfId="19" applyFont="1"/>
    <xf numFmtId="0" fontId="81" fillId="0" borderId="20" xfId="19" applyFont="1" applyBorder="1" applyAlignment="1">
      <alignment horizontal="center"/>
    </xf>
    <xf numFmtId="0" fontId="81" fillId="0" borderId="20" xfId="19" applyFont="1" applyBorder="1"/>
    <xf numFmtId="0" fontId="77" fillId="0" borderId="20" xfId="19" applyFont="1" applyBorder="1"/>
    <xf numFmtId="41" fontId="77" fillId="0" borderId="20" xfId="10" applyNumberFormat="1" applyFont="1" applyBorder="1"/>
    <xf numFmtId="0" fontId="77" fillId="0" borderId="20" xfId="19" applyFont="1" applyBorder="1" applyAlignment="1">
      <alignment vertical="center"/>
    </xf>
    <xf numFmtId="0" fontId="77" fillId="0" borderId="20" xfId="19" applyFont="1" applyBorder="1" applyAlignment="1">
      <alignment vertical="center" wrapText="1"/>
    </xf>
    <xf numFmtId="41" fontId="77" fillId="0" borderId="20" xfId="10" applyNumberFormat="1" applyFont="1" applyBorder="1" applyAlignment="1">
      <alignment vertical="center"/>
    </xf>
    <xf numFmtId="41" fontId="77" fillId="0" borderId="1" xfId="10" applyNumberFormat="1" applyFont="1" applyBorder="1"/>
    <xf numFmtId="0" fontId="89" fillId="0" borderId="1" xfId="19" applyFont="1"/>
    <xf numFmtId="0" fontId="87" fillId="0" borderId="1" xfId="19" applyFont="1"/>
    <xf numFmtId="41" fontId="77" fillId="0" borderId="0" xfId="10" applyNumberFormat="1" applyFont="1"/>
    <xf numFmtId="41" fontId="77" fillId="0" borderId="1" xfId="19" applyNumberFormat="1" applyFont="1"/>
    <xf numFmtId="9" fontId="77" fillId="0" borderId="20" xfId="19" applyNumberFormat="1" applyFont="1" applyBorder="1"/>
    <xf numFmtId="0" fontId="81" fillId="0" borderId="21" xfId="19" applyFont="1" applyBorder="1"/>
    <xf numFmtId="9" fontId="81" fillId="19" borderId="20" xfId="11" applyFont="1" applyFill="1" applyBorder="1"/>
    <xf numFmtId="0" fontId="77" fillId="0" borderId="1" xfId="19" applyFont="1" applyAlignment="1">
      <alignment horizontal="center"/>
    </xf>
    <xf numFmtId="41" fontId="77" fillId="19" borderId="0" xfId="10" applyNumberFormat="1" applyFont="1" applyFill="1"/>
    <xf numFmtId="10" fontId="77" fillId="0" borderId="0" xfId="11" applyNumberFormat="1" applyFont="1"/>
    <xf numFmtId="0" fontId="77" fillId="0" borderId="20" xfId="19" applyFont="1" applyBorder="1" applyAlignment="1">
      <alignment horizontal="center"/>
    </xf>
    <xf numFmtId="41" fontId="90" fillId="0" borderId="20" xfId="10" applyNumberFormat="1" applyFont="1" applyBorder="1"/>
    <xf numFmtId="9" fontId="77" fillId="0" borderId="0" xfId="11" applyFont="1"/>
    <xf numFmtId="44" fontId="77" fillId="0" borderId="0" xfId="1" applyFont="1"/>
    <xf numFmtId="10" fontId="77" fillId="0" borderId="1" xfId="19" applyNumberFormat="1" applyFont="1"/>
    <xf numFmtId="0" fontId="81" fillId="0" borderId="1" xfId="19" applyFont="1" applyAlignment="1">
      <alignment horizontal="center"/>
    </xf>
    <xf numFmtId="0" fontId="91" fillId="0" borderId="0" xfId="0" applyFont="1"/>
    <xf numFmtId="41" fontId="91" fillId="0" borderId="0" xfId="10" applyNumberFormat="1" applyFont="1"/>
    <xf numFmtId="0" fontId="81" fillId="19" borderId="20" xfId="19" applyFont="1" applyFill="1" applyBorder="1" applyAlignment="1">
      <alignment horizontal="center"/>
    </xf>
    <xf numFmtId="0" fontId="89" fillId="0" borderId="1" xfId="19" applyFont="1" applyAlignment="1">
      <alignment horizontal="center"/>
    </xf>
    <xf numFmtId="41" fontId="81" fillId="19" borderId="0" xfId="10" applyNumberFormat="1" applyFont="1" applyFill="1"/>
    <xf numFmtId="0" fontId="96" fillId="21" borderId="22" xfId="0" applyFont="1" applyFill="1" applyBorder="1"/>
    <xf numFmtId="0" fontId="96" fillId="21" borderId="23" xfId="0" applyFont="1" applyFill="1" applyBorder="1" applyAlignment="1">
      <alignment horizontal="center"/>
    </xf>
    <xf numFmtId="183" fontId="96" fillId="21" borderId="23" xfId="0" applyNumberFormat="1" applyFont="1" applyFill="1" applyBorder="1" applyAlignment="1">
      <alignment horizontal="center"/>
    </xf>
    <xf numFmtId="0" fontId="97" fillId="22" borderId="24" xfId="0" applyFont="1" applyFill="1" applyBorder="1"/>
    <xf numFmtId="0" fontId="97" fillId="22" borderId="25" xfId="0" applyFont="1" applyFill="1" applyBorder="1"/>
    <xf numFmtId="0" fontId="97" fillId="22" borderId="25" xfId="0" applyFont="1" applyFill="1" applyBorder="1" applyAlignment="1">
      <alignment horizontal="center"/>
    </xf>
    <xf numFmtId="183" fontId="97" fillId="22" borderId="25" xfId="0" applyNumberFormat="1" applyFont="1" applyFill="1" applyBorder="1" applyAlignment="1">
      <alignment horizontal="center"/>
    </xf>
    <xf numFmtId="0" fontId="96" fillId="23" borderId="24" xfId="0" applyFont="1" applyFill="1" applyBorder="1"/>
    <xf numFmtId="0" fontId="96" fillId="23" borderId="25" xfId="0" applyFont="1" applyFill="1" applyBorder="1"/>
    <xf numFmtId="0" fontId="96" fillId="23" borderId="25" xfId="0" applyFont="1" applyFill="1" applyBorder="1" applyAlignment="1">
      <alignment horizontal="center"/>
    </xf>
    <xf numFmtId="183" fontId="96" fillId="23" borderId="25" xfId="0" applyNumberFormat="1" applyFont="1" applyFill="1" applyBorder="1"/>
    <xf numFmtId="0" fontId="98" fillId="0" borderId="24" xfId="0" applyFont="1" applyBorder="1"/>
    <xf numFmtId="0" fontId="98" fillId="0" borderId="25" xfId="0" applyFont="1" applyBorder="1"/>
    <xf numFmtId="0" fontId="98" fillId="0" borderId="25" xfId="0" applyFont="1" applyBorder="1" applyAlignment="1">
      <alignment horizontal="center"/>
    </xf>
    <xf numFmtId="181" fontId="98" fillId="0" borderId="25" xfId="0" applyNumberFormat="1" applyFont="1" applyBorder="1" applyAlignment="1">
      <alignment horizontal="center"/>
    </xf>
    <xf numFmtId="183" fontId="98" fillId="0" borderId="25" xfId="0" applyNumberFormat="1" applyFont="1" applyBorder="1"/>
    <xf numFmtId="181" fontId="96" fillId="23" borderId="25" xfId="0" applyNumberFormat="1" applyFont="1" applyFill="1" applyBorder="1" applyAlignment="1">
      <alignment horizontal="center"/>
    </xf>
    <xf numFmtId="44" fontId="98" fillId="0" borderId="25" xfId="0" applyNumberFormat="1" applyFont="1" applyBorder="1" applyAlignment="1">
      <alignment horizontal="left" indent="2"/>
    </xf>
    <xf numFmtId="9" fontId="98" fillId="0" borderId="25" xfId="0" applyNumberFormat="1" applyFont="1" applyBorder="1" applyAlignment="1">
      <alignment horizontal="center"/>
    </xf>
    <xf numFmtId="0" fontId="98" fillId="0" borderId="24" xfId="0" applyFont="1" applyBorder="1" applyAlignment="1">
      <alignment horizontal="left" indent="2"/>
    </xf>
    <xf numFmtId="9" fontId="93" fillId="0" borderId="25" xfId="0" applyNumberFormat="1" applyFont="1" applyBorder="1" applyAlignment="1">
      <alignment horizontal="center"/>
    </xf>
    <xf numFmtId="44" fontId="98" fillId="0" borderId="25" xfId="0" applyNumberFormat="1" applyFont="1" applyBorder="1"/>
    <xf numFmtId="4" fontId="100" fillId="24" borderId="22" xfId="0" applyNumberFormat="1" applyFont="1" applyFill="1" applyBorder="1" applyAlignment="1">
      <alignment horizontal="center"/>
    </xf>
    <xf numFmtId="184" fontId="100" fillId="24" borderId="22" xfId="0" applyNumberFormat="1" applyFont="1" applyFill="1" applyBorder="1" applyAlignment="1">
      <alignment horizontal="center"/>
    </xf>
    <xf numFmtId="3" fontId="99" fillId="25" borderId="22" xfId="0" applyNumberFormat="1" applyFont="1" applyFill="1" applyBorder="1" applyAlignment="1">
      <alignment horizontal="center"/>
    </xf>
    <xf numFmtId="4" fontId="99" fillId="25" borderId="22" xfId="0" applyNumberFormat="1" applyFont="1" applyFill="1" applyBorder="1" applyAlignment="1">
      <alignment horizontal="left"/>
    </xf>
    <xf numFmtId="184" fontId="99" fillId="25" borderId="22" xfId="0" applyNumberFormat="1" applyFont="1" applyFill="1" applyBorder="1" applyAlignment="1">
      <alignment horizontal="center"/>
    </xf>
    <xf numFmtId="3" fontId="101" fillId="0" borderId="22" xfId="0" applyNumberFormat="1" applyFont="1" applyBorder="1" applyAlignment="1">
      <alignment horizontal="center"/>
    </xf>
    <xf numFmtId="0" fontId="101" fillId="0" borderId="22" xfId="0" applyFont="1" applyBorder="1" applyAlignment="1">
      <alignment horizontal="left" indent="1"/>
    </xf>
    <xf numFmtId="184" fontId="101" fillId="0" borderId="22" xfId="0" applyNumberFormat="1" applyFont="1" applyBorder="1" applyAlignment="1">
      <alignment horizontal="center"/>
    </xf>
    <xf numFmtId="3" fontId="100" fillId="26" borderId="22" xfId="0" applyNumberFormat="1" applyFont="1" applyFill="1" applyBorder="1" applyAlignment="1">
      <alignment horizontal="center"/>
    </xf>
    <xf numFmtId="4" fontId="100" fillId="26" borderId="22" xfId="0" applyNumberFormat="1" applyFont="1" applyFill="1" applyBorder="1" applyAlignment="1">
      <alignment horizontal="left"/>
    </xf>
    <xf numFmtId="184" fontId="100" fillId="26" borderId="22" xfId="0" applyNumberFormat="1" applyFont="1" applyFill="1" applyBorder="1" applyAlignment="1">
      <alignment horizontal="center"/>
    </xf>
    <xf numFmtId="44" fontId="12" fillId="3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/>
    </xf>
    <xf numFmtId="9" fontId="50" fillId="12" borderId="1" xfId="0" applyNumberFormat="1" applyFont="1" applyFill="1" applyBorder="1" applyAlignment="1">
      <alignment horizontal="right"/>
    </xf>
    <xf numFmtId="166" fontId="14" fillId="3" borderId="1" xfId="0" applyNumberFormat="1" applyFont="1" applyFill="1" applyBorder="1" applyAlignment="1">
      <alignment horizontal="center" vertical="center"/>
    </xf>
    <xf numFmtId="43" fontId="84" fillId="0" borderId="0" xfId="10" applyFont="1"/>
    <xf numFmtId="181" fontId="84" fillId="0" borderId="0" xfId="0" applyNumberFormat="1" applyFont="1"/>
    <xf numFmtId="0" fontId="104" fillId="0" borderId="1" xfId="22"/>
    <xf numFmtId="0" fontId="104" fillId="0" borderId="1" xfId="22" applyAlignment="1">
      <alignment horizontal="center"/>
    </xf>
    <xf numFmtId="0" fontId="95" fillId="0" borderId="1" xfId="22" applyFont="1"/>
    <xf numFmtId="0" fontId="104" fillId="6" borderId="1" xfId="22" applyFill="1"/>
    <xf numFmtId="185" fontId="104" fillId="0" borderId="1" xfId="22" applyNumberFormat="1"/>
    <xf numFmtId="0" fontId="104" fillId="6" borderId="10" xfId="22" applyFill="1" applyBorder="1"/>
    <xf numFmtId="185" fontId="104" fillId="6" borderId="10" xfId="22" applyNumberFormat="1" applyFill="1" applyBorder="1"/>
    <xf numFmtId="0" fontId="104" fillId="0" borderId="10" xfId="22" applyBorder="1"/>
    <xf numFmtId="0" fontId="95" fillId="0" borderId="10" xfId="22" applyFont="1" applyBorder="1"/>
    <xf numFmtId="0" fontId="104" fillId="14" borderId="10" xfId="22" applyFill="1" applyBorder="1"/>
    <xf numFmtId="0" fontId="95" fillId="6" borderId="10" xfId="22" applyFont="1" applyFill="1" applyBorder="1"/>
    <xf numFmtId="0" fontId="95" fillId="0" borderId="10" xfId="22" applyFont="1" applyBorder="1" applyAlignment="1">
      <alignment horizontal="center"/>
    </xf>
    <xf numFmtId="4" fontId="70" fillId="0" borderId="17" xfId="22" applyNumberFormat="1" applyFont="1" applyBorder="1" applyAlignment="1">
      <alignment horizontal="center" vertical="center" wrapText="1"/>
    </xf>
    <xf numFmtId="0" fontId="70" fillId="0" borderId="17" xfId="22" applyFont="1" applyBorder="1" applyAlignment="1">
      <alignment horizontal="center" vertical="center" wrapText="1"/>
    </xf>
    <xf numFmtId="0" fontId="70" fillId="0" borderId="16" xfId="22" applyFont="1" applyBorder="1" applyAlignment="1">
      <alignment horizontal="left" vertical="center" wrapText="1"/>
    </xf>
    <xf numFmtId="2" fontId="95" fillId="0" borderId="10" xfId="22" applyNumberFormat="1" applyFont="1" applyBorder="1" applyAlignment="1">
      <alignment vertical="center"/>
    </xf>
    <xf numFmtId="2" fontId="95" fillId="0" borderId="10" xfId="22" applyNumberFormat="1" applyFont="1" applyBorder="1"/>
    <xf numFmtId="2" fontId="95" fillId="0" borderId="10" xfId="22" applyNumberFormat="1" applyFont="1" applyBorder="1" applyAlignment="1">
      <alignment horizontal="center" vertical="center"/>
    </xf>
    <xf numFmtId="2" fontId="104" fillId="0" borderId="10" xfId="22" applyNumberFormat="1" applyBorder="1"/>
    <xf numFmtId="2" fontId="104" fillId="0" borderId="10" xfId="22" applyNumberFormat="1" applyBorder="1" applyAlignment="1">
      <alignment horizontal="left"/>
    </xf>
    <xf numFmtId="2" fontId="95" fillId="0" borderId="10" xfId="22" applyNumberFormat="1" applyFont="1" applyBorder="1" applyAlignment="1">
      <alignment vertical="center" wrapText="1"/>
    </xf>
    <xf numFmtId="2" fontId="95" fillId="0" borderId="10" xfId="22" applyNumberFormat="1" applyFont="1" applyBorder="1" applyAlignment="1">
      <alignment horizontal="center" vertical="center" wrapText="1"/>
    </xf>
    <xf numFmtId="4" fontId="95" fillId="0" borderId="10" xfId="22" applyNumberFormat="1" applyFont="1" applyBorder="1" applyAlignment="1">
      <alignment vertical="center"/>
    </xf>
    <xf numFmtId="4" fontId="104" fillId="0" borderId="10" xfId="22" applyNumberFormat="1" applyBorder="1"/>
    <xf numFmtId="2" fontId="95" fillId="27" borderId="10" xfId="22" applyNumberFormat="1" applyFont="1" applyFill="1" applyBorder="1" applyAlignment="1">
      <alignment horizontal="center"/>
    </xf>
    <xf numFmtId="0" fontId="104" fillId="0" borderId="1" xfId="22" applyAlignment="1">
      <alignment horizontal="center" vertical="center"/>
    </xf>
    <xf numFmtId="0" fontId="104" fillId="0" borderId="1" xfId="22" applyAlignment="1">
      <alignment horizontal="center" vertical="center" wrapText="1"/>
    </xf>
    <xf numFmtId="0" fontId="104" fillId="0" borderId="1" xfId="22" applyAlignment="1">
      <alignment vertical="center"/>
    </xf>
    <xf numFmtId="0" fontId="104" fillId="0" borderId="1" xfId="22" applyAlignment="1">
      <alignment wrapText="1"/>
    </xf>
    <xf numFmtId="4" fontId="104" fillId="0" borderId="1" xfId="22" applyNumberFormat="1" applyAlignment="1">
      <alignment horizontal="center" vertical="center"/>
    </xf>
    <xf numFmtId="0" fontId="79" fillId="18" borderId="1" xfId="23" applyFont="1" applyFill="1"/>
    <xf numFmtId="44" fontId="79" fillId="18" borderId="1" xfId="24" applyFont="1" applyFill="1"/>
    <xf numFmtId="0" fontId="80" fillId="0" borderId="1" xfId="23" applyFont="1"/>
    <xf numFmtId="0" fontId="91" fillId="0" borderId="1" xfId="23" applyFont="1"/>
    <xf numFmtId="44" fontId="91" fillId="0" borderId="1" xfId="24" applyFont="1"/>
    <xf numFmtId="0" fontId="91" fillId="0" borderId="20" xfId="23" applyFont="1" applyBorder="1"/>
    <xf numFmtId="44" fontId="91" fillId="0" borderId="20" xfId="24" applyFont="1" applyBorder="1"/>
    <xf numFmtId="0" fontId="106" fillId="0" borderId="1" xfId="25"/>
    <xf numFmtId="0" fontId="92" fillId="19" borderId="20" xfId="23" applyFont="1" applyFill="1" applyBorder="1"/>
    <xf numFmtId="0" fontId="91" fillId="19" borderId="20" xfId="23" applyFont="1" applyFill="1" applyBorder="1"/>
    <xf numFmtId="44" fontId="92" fillId="19" borderId="20" xfId="24" applyFont="1" applyFill="1" applyBorder="1"/>
    <xf numFmtId="183" fontId="91" fillId="0" borderId="20" xfId="24" applyNumberFormat="1" applyFont="1" applyBorder="1"/>
    <xf numFmtId="183" fontId="92" fillId="19" borderId="20" xfId="24" applyNumberFormat="1" applyFont="1" applyFill="1" applyBorder="1"/>
    <xf numFmtId="0" fontId="91" fillId="19" borderId="20" xfId="23" applyFont="1" applyFill="1" applyBorder="1" applyAlignment="1">
      <alignment horizontal="right"/>
    </xf>
    <xf numFmtId="44" fontId="77" fillId="0" borderId="1" xfId="24" applyFont="1"/>
    <xf numFmtId="0" fontId="92" fillId="0" borderId="12" xfId="23" applyFont="1" applyBorder="1"/>
    <xf numFmtId="0" fontId="91" fillId="0" borderId="12" xfId="23" applyFont="1" applyBorder="1"/>
    <xf numFmtId="183" fontId="93" fillId="19" borderId="1" xfId="24" applyNumberFormat="1" applyFont="1" applyFill="1"/>
    <xf numFmtId="0" fontId="93" fillId="19" borderId="1" xfId="23" applyFont="1" applyFill="1"/>
    <xf numFmtId="183" fontId="91" fillId="0" borderId="1" xfId="23" applyNumberFormat="1" applyFont="1"/>
    <xf numFmtId="183" fontId="91" fillId="0" borderId="1" xfId="24" applyNumberFormat="1" applyFont="1"/>
    <xf numFmtId="183" fontId="92" fillId="0" borderId="1" xfId="24" applyNumberFormat="1" applyFont="1"/>
    <xf numFmtId="0" fontId="94" fillId="0" borderId="1" xfId="23" applyFont="1"/>
    <xf numFmtId="0" fontId="107" fillId="28" borderId="1" xfId="19" applyFont="1" applyFill="1" applyAlignment="1">
      <alignment vertical="center"/>
    </xf>
    <xf numFmtId="0" fontId="108" fillId="28" borderId="1" xfId="19" applyFont="1" applyFill="1" applyAlignment="1">
      <alignment vertical="center"/>
    </xf>
    <xf numFmtId="44" fontId="108" fillId="28" borderId="1" xfId="24" applyFont="1" applyFill="1" applyAlignment="1">
      <alignment vertical="center"/>
    </xf>
    <xf numFmtId="0" fontId="81" fillId="29" borderId="10" xfId="19" applyFont="1" applyFill="1" applyBorder="1"/>
    <xf numFmtId="0" fontId="77" fillId="0" borderId="10" xfId="19" applyFont="1" applyBorder="1"/>
    <xf numFmtId="41" fontId="77" fillId="0" borderId="10" xfId="26" applyNumberFormat="1" applyFont="1" applyBorder="1"/>
    <xf numFmtId="0" fontId="81" fillId="19" borderId="30" xfId="19" applyFont="1" applyFill="1" applyBorder="1" applyAlignment="1">
      <alignment horizontal="center" vertical="center" wrapText="1"/>
    </xf>
    <xf numFmtId="44" fontId="81" fillId="19" borderId="30" xfId="24" applyFont="1" applyFill="1" applyBorder="1" applyAlignment="1">
      <alignment horizontal="center" vertical="center" wrapText="1"/>
    </xf>
    <xf numFmtId="0" fontId="109" fillId="18" borderId="30" xfId="19" applyFont="1" applyFill="1" applyBorder="1"/>
    <xf numFmtId="44" fontId="109" fillId="18" borderId="30" xfId="19" applyNumberFormat="1" applyFont="1" applyFill="1" applyBorder="1"/>
    <xf numFmtId="44" fontId="109" fillId="18" borderId="30" xfId="24" applyFont="1" applyFill="1" applyBorder="1"/>
    <xf numFmtId="0" fontId="77" fillId="0" borderId="30" xfId="19" applyFont="1" applyBorder="1" applyAlignment="1">
      <alignment vertical="center" wrapText="1"/>
    </xf>
    <xf numFmtId="44" fontId="78" fillId="0" borderId="30" xfId="24" applyFont="1" applyBorder="1" applyAlignment="1">
      <alignment vertical="center" wrapText="1"/>
    </xf>
    <xf numFmtId="41" fontId="77" fillId="0" borderId="30" xfId="26" applyNumberFormat="1" applyFont="1" applyBorder="1" applyAlignment="1">
      <alignment horizontal="center" vertical="center" wrapText="1"/>
    </xf>
    <xf numFmtId="0" fontId="77" fillId="0" borderId="30" xfId="19" applyFont="1" applyBorder="1" applyAlignment="1">
      <alignment horizontal="center" vertical="center" wrapText="1"/>
    </xf>
    <xf numFmtId="44" fontId="77" fillId="0" borderId="30" xfId="24" applyFont="1" applyBorder="1" applyAlignment="1">
      <alignment vertical="center" wrapText="1"/>
    </xf>
    <xf numFmtId="0" fontId="110" fillId="0" borderId="30" xfId="19" applyFont="1" applyBorder="1" applyAlignment="1">
      <alignment vertical="center" wrapText="1"/>
    </xf>
    <xf numFmtId="44" fontId="77" fillId="0" borderId="30" xfId="24" applyFont="1" applyBorder="1" applyAlignment="1">
      <alignment vertical="center"/>
    </xf>
    <xf numFmtId="0" fontId="77" fillId="0" borderId="30" xfId="19" applyFont="1" applyBorder="1" applyAlignment="1">
      <alignment horizontal="center" vertical="center"/>
    </xf>
    <xf numFmtId="0" fontId="106" fillId="0" borderId="30" xfId="25" applyBorder="1" applyAlignment="1">
      <alignment vertical="center" wrapText="1"/>
    </xf>
    <xf numFmtId="181" fontId="18" fillId="2" borderId="1" xfId="10" applyNumberFormat="1" applyFont="1" applyFill="1" applyBorder="1" applyAlignment="1">
      <alignment horizontal="left"/>
    </xf>
    <xf numFmtId="44" fontId="18" fillId="2" borderId="1" xfId="0" applyNumberFormat="1" applyFont="1" applyFill="1" applyBorder="1" applyAlignment="1">
      <alignment horizontal="left"/>
    </xf>
    <xf numFmtId="0" fontId="111" fillId="30" borderId="1" xfId="0" applyFont="1" applyFill="1" applyBorder="1" applyAlignment="1">
      <alignment horizontal="left" vertical="center"/>
    </xf>
    <xf numFmtId="0" fontId="11" fillId="31" borderId="1" xfId="0" applyFont="1" applyFill="1" applyBorder="1"/>
    <xf numFmtId="44" fontId="52" fillId="31" borderId="1" xfId="1" applyFont="1" applyFill="1" applyBorder="1" applyAlignment="1">
      <alignment horizontal="right"/>
    </xf>
    <xf numFmtId="44" fontId="111" fillId="30" borderId="1" xfId="1" applyFont="1" applyFill="1" applyBorder="1" applyAlignment="1">
      <alignment horizontal="left" vertical="center"/>
    </xf>
    <xf numFmtId="44" fontId="10" fillId="2" borderId="1" xfId="1" applyFont="1" applyFill="1" applyBorder="1"/>
    <xf numFmtId="10" fontId="8" fillId="2" borderId="1" xfId="11" applyNumberFormat="1" applyFont="1" applyFill="1" applyBorder="1"/>
    <xf numFmtId="44" fontId="9" fillId="2" borderId="1" xfId="0" applyNumberFormat="1" applyFont="1" applyFill="1" applyBorder="1" applyAlignment="1">
      <alignment horizontal="right"/>
    </xf>
    <xf numFmtId="0" fontId="95" fillId="0" borderId="18" xfId="22" applyFont="1" applyBorder="1" applyAlignment="1">
      <alignment horizontal="center" vertical="center"/>
    </xf>
    <xf numFmtId="0" fontId="95" fillId="0" borderId="29" xfId="22" applyFont="1" applyBorder="1" applyAlignment="1">
      <alignment horizontal="center" vertical="center"/>
    </xf>
    <xf numFmtId="0" fontId="95" fillId="0" borderId="29" xfId="22" applyFont="1" applyBorder="1" applyAlignment="1">
      <alignment horizontal="right" vertical="center"/>
    </xf>
    <xf numFmtId="0" fontId="95" fillId="0" borderId="29" xfId="22" applyFont="1" applyBorder="1" applyAlignment="1">
      <alignment horizontal="center" vertical="center" wrapText="1"/>
    </xf>
    <xf numFmtId="0" fontId="95" fillId="0" borderId="19" xfId="22" applyFont="1" applyBorder="1" applyAlignment="1">
      <alignment horizontal="center" vertical="center" wrapText="1"/>
    </xf>
    <xf numFmtId="0" fontId="20" fillId="27" borderId="15" xfId="22" applyFont="1" applyFill="1" applyBorder="1" applyAlignment="1">
      <alignment vertical="center"/>
    </xf>
    <xf numFmtId="0" fontId="20" fillId="27" borderId="26" xfId="22" applyFont="1" applyFill="1" applyBorder="1" applyAlignment="1">
      <alignment horizontal="center" vertical="center"/>
    </xf>
    <xf numFmtId="0" fontId="20" fillId="27" borderId="26" xfId="22" applyFont="1" applyFill="1" applyBorder="1" applyAlignment="1">
      <alignment vertical="center"/>
    </xf>
    <xf numFmtId="0" fontId="20" fillId="27" borderId="26" xfId="22" applyFont="1" applyFill="1" applyBorder="1" applyAlignment="1">
      <alignment vertical="center" wrapText="1"/>
    </xf>
    <xf numFmtId="43" fontId="20" fillId="27" borderId="26" xfId="27" applyFont="1" applyFill="1" applyBorder="1" applyAlignment="1">
      <alignment horizontal="right" vertical="center"/>
    </xf>
    <xf numFmtId="43" fontId="20" fillId="27" borderId="14" xfId="27" applyFont="1" applyFill="1" applyBorder="1" applyAlignment="1">
      <alignment vertical="center"/>
    </xf>
    <xf numFmtId="0" fontId="104" fillId="0" borderId="31" xfId="22" applyBorder="1"/>
    <xf numFmtId="0" fontId="104" fillId="0" borderId="1" xfId="22" applyAlignment="1">
      <alignment horizontal="right"/>
    </xf>
    <xf numFmtId="43" fontId="22" fillId="0" borderId="1" xfId="27" applyFont="1" applyBorder="1" applyAlignment="1">
      <alignment horizontal="right" vertical="center"/>
    </xf>
    <xf numFmtId="43" fontId="104" fillId="0" borderId="32" xfId="22" applyNumberFormat="1" applyBorder="1"/>
    <xf numFmtId="0" fontId="104" fillId="0" borderId="32" xfId="22" applyBorder="1"/>
    <xf numFmtId="0" fontId="104" fillId="0" borderId="31" xfId="22" applyBorder="1" applyAlignment="1">
      <alignment horizontal="center" vertical="center"/>
    </xf>
    <xf numFmtId="0" fontId="104" fillId="0" borderId="1" xfId="22" applyAlignment="1">
      <alignment horizontal="right" vertical="center"/>
    </xf>
    <xf numFmtId="0" fontId="22" fillId="0" borderId="1" xfId="22" applyFont="1" applyAlignment="1">
      <alignment vertical="center" wrapText="1"/>
    </xf>
    <xf numFmtId="2" fontId="104" fillId="0" borderId="1" xfId="22" applyNumberFormat="1" applyAlignment="1">
      <alignment horizontal="right" vertical="center"/>
    </xf>
    <xf numFmtId="43" fontId="22" fillId="0" borderId="32" xfId="27" applyFont="1" applyBorder="1" applyAlignment="1">
      <alignment vertical="center"/>
    </xf>
    <xf numFmtId="4" fontId="104" fillId="0" borderId="1" xfId="22" applyNumberFormat="1" applyAlignment="1">
      <alignment horizontal="right" vertical="center"/>
    </xf>
    <xf numFmtId="2" fontId="104" fillId="0" borderId="1" xfId="22" applyNumberFormat="1" applyAlignment="1">
      <alignment horizontal="right"/>
    </xf>
    <xf numFmtId="0" fontId="104" fillId="6" borderId="31" xfId="22" applyFill="1" applyBorder="1" applyAlignment="1">
      <alignment horizontal="center" vertical="center"/>
    </xf>
    <xf numFmtId="0" fontId="104" fillId="6" borderId="1" xfId="22" applyFill="1" applyAlignment="1">
      <alignment horizontal="center" vertical="center"/>
    </xf>
    <xf numFmtId="0" fontId="104" fillId="6" borderId="1" xfId="22" applyFill="1" applyAlignment="1">
      <alignment vertical="center"/>
    </xf>
    <xf numFmtId="0" fontId="22" fillId="6" borderId="1" xfId="22" applyFont="1" applyFill="1" applyAlignment="1">
      <alignment vertical="center" wrapText="1"/>
    </xf>
    <xf numFmtId="4" fontId="104" fillId="6" borderId="1" xfId="22" applyNumberFormat="1" applyFill="1" applyAlignment="1">
      <alignment horizontal="right" vertical="center"/>
    </xf>
    <xf numFmtId="43" fontId="22" fillId="6" borderId="32" xfId="27" applyFont="1" applyFill="1" applyBorder="1" applyAlignment="1">
      <alignment vertical="center"/>
    </xf>
    <xf numFmtId="4" fontId="70" fillId="0" borderId="1" xfId="22" applyNumberFormat="1" applyFont="1" applyAlignment="1">
      <alignment horizontal="right" vertical="center"/>
    </xf>
    <xf numFmtId="43" fontId="22" fillId="0" borderId="1" xfId="27" applyFont="1" applyBorder="1" applyAlignment="1">
      <alignment vertical="center"/>
    </xf>
    <xf numFmtId="0" fontId="20" fillId="6" borderId="1" xfId="22" applyFont="1" applyFill="1" applyAlignment="1">
      <alignment vertical="center"/>
    </xf>
    <xf numFmtId="0" fontId="22" fillId="6" borderId="1" xfId="22" applyFont="1" applyFill="1" applyAlignment="1">
      <alignment horizontal="center" vertical="center"/>
    </xf>
    <xf numFmtId="43" fontId="22" fillId="6" borderId="1" xfId="27" applyFont="1" applyFill="1" applyBorder="1" applyAlignment="1">
      <alignment horizontal="right" vertical="center"/>
    </xf>
    <xf numFmtId="0" fontId="20" fillId="6" borderId="31" xfId="22" applyFont="1" applyFill="1" applyBorder="1" applyAlignment="1">
      <alignment vertical="center"/>
    </xf>
    <xf numFmtId="0" fontId="20" fillId="6" borderId="1" xfId="22" applyFont="1" applyFill="1" applyAlignment="1">
      <alignment horizontal="center" vertical="center"/>
    </xf>
    <xf numFmtId="0" fontId="112" fillId="0" borderId="1" xfId="28" applyBorder="1" applyAlignment="1">
      <alignment wrapText="1"/>
    </xf>
    <xf numFmtId="43" fontId="20" fillId="6" borderId="32" xfId="27" applyFont="1" applyFill="1" applyBorder="1" applyAlignment="1">
      <alignment vertical="center"/>
    </xf>
    <xf numFmtId="0" fontId="20" fillId="6" borderId="1" xfId="22" applyFont="1" applyFill="1" applyAlignment="1">
      <alignment vertical="center" wrapText="1"/>
    </xf>
    <xf numFmtId="43" fontId="20" fillId="6" borderId="1" xfId="27" applyFont="1" applyFill="1" applyBorder="1" applyAlignment="1">
      <alignment horizontal="right" vertical="center"/>
    </xf>
    <xf numFmtId="0" fontId="95" fillId="0" borderId="29" xfId="22" applyFont="1" applyBorder="1"/>
    <xf numFmtId="0" fontId="95" fillId="0" borderId="29" xfId="22" applyFont="1" applyBorder="1" applyAlignment="1">
      <alignment horizontal="center"/>
    </xf>
    <xf numFmtId="0" fontId="95" fillId="0" borderId="29" xfId="22" applyFont="1" applyBorder="1" applyAlignment="1">
      <alignment horizontal="right"/>
    </xf>
    <xf numFmtId="43" fontId="95" fillId="0" borderId="19" xfId="22" applyNumberFormat="1" applyFont="1" applyBorder="1"/>
    <xf numFmtId="0" fontId="95" fillId="0" borderId="1" xfId="22" applyFont="1" applyAlignment="1">
      <alignment horizontal="center"/>
    </xf>
    <xf numFmtId="43" fontId="95" fillId="0" borderId="1" xfId="22" applyNumberFormat="1" applyFont="1" applyAlignment="1">
      <alignment horizontal="right"/>
    </xf>
    <xf numFmtId="10" fontId="95" fillId="0" borderId="1" xfId="22" applyNumberFormat="1" applyFont="1" applyAlignment="1">
      <alignment horizontal="center"/>
    </xf>
    <xf numFmtId="43" fontId="95" fillId="0" borderId="32" xfId="22" applyNumberFormat="1" applyFont="1" applyBorder="1"/>
    <xf numFmtId="0" fontId="95" fillId="0" borderId="34" xfId="22" applyFont="1" applyBorder="1"/>
    <xf numFmtId="0" fontId="95" fillId="0" borderId="34" xfId="22" applyFont="1" applyBorder="1" applyAlignment="1">
      <alignment horizontal="center"/>
    </xf>
    <xf numFmtId="0" fontId="95" fillId="0" borderId="34" xfId="22" applyFont="1" applyBorder="1" applyAlignment="1">
      <alignment horizontal="right"/>
    </xf>
    <xf numFmtId="43" fontId="95" fillId="0" borderId="17" xfId="22" applyNumberFormat="1" applyFont="1" applyBorder="1"/>
    <xf numFmtId="185" fontId="95" fillId="0" borderId="10" xfId="22" applyNumberFormat="1" applyFont="1" applyBorder="1"/>
    <xf numFmtId="0" fontId="95" fillId="0" borderId="10" xfId="22" applyFont="1" applyBorder="1" applyAlignment="1">
      <alignment wrapText="1"/>
    </xf>
    <xf numFmtId="185" fontId="95" fillId="6" borderId="10" xfId="22" applyNumberFormat="1" applyFont="1" applyFill="1" applyBorder="1"/>
    <xf numFmtId="43" fontId="95" fillId="6" borderId="10" xfId="22" applyNumberFormat="1" applyFont="1" applyFill="1" applyBorder="1"/>
    <xf numFmtId="185" fontId="104" fillId="0" borderId="10" xfId="22" applyNumberFormat="1" applyBorder="1"/>
    <xf numFmtId="43" fontId="95" fillId="0" borderId="10" xfId="22" applyNumberFormat="1" applyFont="1" applyBorder="1"/>
    <xf numFmtId="43" fontId="104" fillId="6" borderId="10" xfId="22" applyNumberFormat="1" applyFill="1" applyBorder="1"/>
    <xf numFmtId="43" fontId="104" fillId="0" borderId="10" xfId="22" applyNumberFormat="1" applyBorder="1"/>
    <xf numFmtId="0" fontId="2" fillId="0" borderId="1" xfId="29"/>
    <xf numFmtId="10" fontId="113" fillId="0" borderId="1" xfId="29" applyNumberFormat="1" applyFont="1" applyAlignment="1">
      <alignment horizontal="center"/>
    </xf>
    <xf numFmtId="0" fontId="113" fillId="0" borderId="11" xfId="29" applyFont="1" applyBorder="1" applyAlignment="1">
      <alignment horizontal="left" indent="1"/>
    </xf>
    <xf numFmtId="10" fontId="113" fillId="32" borderId="1" xfId="30" applyNumberFormat="1" applyFont="1" applyFill="1" applyAlignment="1">
      <alignment horizontal="center"/>
    </xf>
    <xf numFmtId="0" fontId="113" fillId="32" borderId="1" xfId="29" applyFont="1" applyFill="1" applyAlignment="1">
      <alignment horizontal="left" indent="1"/>
    </xf>
    <xf numFmtId="10" fontId="102" fillId="33" borderId="1" xfId="29" applyNumberFormat="1" applyFont="1" applyFill="1" applyAlignment="1">
      <alignment horizontal="center" vertical="center"/>
    </xf>
    <xf numFmtId="0" fontId="102" fillId="33" borderId="1" xfId="29" applyFont="1" applyFill="1" applyAlignment="1">
      <alignment horizontal="center" vertical="center"/>
    </xf>
    <xf numFmtId="10" fontId="0" fillId="29" borderId="1" xfId="30" applyNumberFormat="1" applyFont="1" applyFill="1" applyAlignment="1">
      <alignment horizontal="center" vertical="center"/>
    </xf>
    <xf numFmtId="0" fontId="113" fillId="29" borderId="11" xfId="29" applyFont="1" applyFill="1" applyBorder="1" applyAlignment="1">
      <alignment horizontal="left" indent="1"/>
    </xf>
    <xf numFmtId="10" fontId="0" fillId="0" borderId="1" xfId="30" applyNumberFormat="1" applyFont="1" applyAlignment="1">
      <alignment horizontal="center" vertical="center"/>
    </xf>
    <xf numFmtId="9" fontId="2" fillId="0" borderId="1" xfId="29" applyNumberFormat="1" applyAlignment="1">
      <alignment horizontal="center" vertical="center"/>
    </xf>
    <xf numFmtId="0" fontId="113" fillId="0" borderId="1" xfId="29" applyFont="1" applyAlignment="1">
      <alignment horizontal="left" indent="1"/>
    </xf>
    <xf numFmtId="9" fontId="113" fillId="0" borderId="1" xfId="30" applyFont="1" applyAlignment="1">
      <alignment horizontal="center" vertical="center"/>
    </xf>
    <xf numFmtId="10" fontId="2" fillId="0" borderId="1" xfId="29" applyNumberFormat="1" applyAlignment="1">
      <alignment horizontal="center" vertical="center"/>
    </xf>
    <xf numFmtId="0" fontId="114" fillId="0" borderId="11" xfId="29" applyFont="1" applyBorder="1"/>
    <xf numFmtId="10" fontId="113" fillId="32" borderId="1" xfId="29" applyNumberFormat="1" applyFont="1" applyFill="1" applyAlignment="1">
      <alignment horizontal="center"/>
    </xf>
    <xf numFmtId="0" fontId="113" fillId="32" borderId="11" xfId="29" applyFont="1" applyFill="1" applyBorder="1" applyAlignment="1">
      <alignment horizontal="left" indent="1"/>
    </xf>
    <xf numFmtId="10" fontId="103" fillId="0" borderId="1" xfId="29" applyNumberFormat="1" applyFont="1" applyAlignment="1">
      <alignment horizontal="center"/>
    </xf>
    <xf numFmtId="10" fontId="113" fillId="34" borderId="1" xfId="29" applyNumberFormat="1" applyFont="1" applyFill="1" applyAlignment="1">
      <alignment horizontal="center"/>
    </xf>
    <xf numFmtId="0" fontId="113" fillId="34" borderId="11" xfId="29" applyFont="1" applyFill="1" applyBorder="1" applyAlignment="1">
      <alignment horizontal="left" indent="1"/>
    </xf>
    <xf numFmtId="10" fontId="115" fillId="0" borderId="1" xfId="29" applyNumberFormat="1" applyFont="1" applyAlignment="1">
      <alignment horizontal="right" vertical="center"/>
    </xf>
    <xf numFmtId="0" fontId="115" fillId="0" borderId="11" xfId="29" applyFont="1" applyBorder="1" applyAlignment="1">
      <alignment horizontal="right" vertical="center"/>
    </xf>
    <xf numFmtId="0" fontId="113" fillId="0" borderId="1" xfId="29" applyFont="1" applyAlignment="1">
      <alignment horizontal="center"/>
    </xf>
    <xf numFmtId="0" fontId="103" fillId="0" borderId="1" xfId="29" applyFont="1" applyAlignment="1">
      <alignment horizontal="center"/>
    </xf>
    <xf numFmtId="0" fontId="113" fillId="0" borderId="11" xfId="29" applyFont="1" applyBorder="1"/>
    <xf numFmtId="0" fontId="116" fillId="26" borderId="1" xfId="29" applyFont="1" applyFill="1" applyAlignment="1">
      <alignment horizontal="center"/>
    </xf>
    <xf numFmtId="0" fontId="116" fillId="26" borderId="11" xfId="29" applyFont="1" applyFill="1" applyBorder="1"/>
    <xf numFmtId="0" fontId="69" fillId="15" borderId="13" xfId="31" applyFont="1" applyFill="1" applyBorder="1" applyAlignment="1">
      <alignment horizontal="center" vertical="center"/>
    </xf>
    <xf numFmtId="0" fontId="69" fillId="15" borderId="14" xfId="31" applyFont="1" applyFill="1" applyBorder="1" applyAlignment="1">
      <alignment horizontal="center" vertical="center"/>
    </xf>
    <xf numFmtId="4" fontId="69" fillId="15" borderId="14" xfId="31" applyNumberFormat="1" applyFont="1" applyFill="1" applyBorder="1" applyAlignment="1">
      <alignment horizontal="center" vertical="center"/>
    </xf>
    <xf numFmtId="0" fontId="69" fillId="15" borderId="14" xfId="31" applyFont="1" applyFill="1" applyBorder="1" applyAlignment="1">
      <alignment horizontal="center" vertical="center" wrapText="1"/>
    </xf>
    <xf numFmtId="0" fontId="117" fillId="0" borderId="1" xfId="31"/>
    <xf numFmtId="0" fontId="70" fillId="0" borderId="16" xfId="31" applyFont="1" applyBorder="1" applyAlignment="1">
      <alignment horizontal="left" vertical="center"/>
    </xf>
    <xf numFmtId="0" fontId="70" fillId="0" borderId="17" xfId="31" applyFont="1" applyBorder="1" applyAlignment="1">
      <alignment horizontal="center" vertical="center"/>
    </xf>
    <xf numFmtId="4" fontId="70" fillId="0" borderId="17" xfId="31" applyNumberFormat="1" applyFont="1" applyBorder="1" applyAlignment="1">
      <alignment horizontal="center" vertical="center"/>
    </xf>
    <xf numFmtId="0" fontId="69" fillId="17" borderId="16" xfId="31" applyFont="1" applyFill="1" applyBorder="1" applyAlignment="1">
      <alignment horizontal="center" vertical="center"/>
    </xf>
    <xf numFmtId="0" fontId="69" fillId="17" borderId="17" xfId="31" applyFont="1" applyFill="1" applyBorder="1" applyAlignment="1">
      <alignment horizontal="center" vertical="center"/>
    </xf>
    <xf numFmtId="4" fontId="69" fillId="17" borderId="17" xfId="31" applyNumberFormat="1" applyFont="1" applyFill="1" applyBorder="1" applyAlignment="1">
      <alignment horizontal="center" vertical="center"/>
    </xf>
    <xf numFmtId="9" fontId="10" fillId="2" borderId="1" xfId="1" applyNumberFormat="1" applyFont="1" applyFill="1" applyBorder="1"/>
    <xf numFmtId="9" fontId="9" fillId="2" borderId="1" xfId="11" applyFont="1" applyFill="1" applyBorder="1" applyAlignment="1">
      <alignment horizontal="right"/>
    </xf>
    <xf numFmtId="44" fontId="9" fillId="2" borderId="1" xfId="1" applyFont="1" applyFill="1" applyBorder="1" applyAlignment="1">
      <alignment horizontal="right"/>
    </xf>
    <xf numFmtId="9" fontId="10" fillId="2" borderId="1" xfId="0" applyNumberFormat="1" applyFont="1" applyFill="1" applyBorder="1"/>
    <xf numFmtId="0" fontId="118" fillId="35" borderId="35" xfId="0" applyFont="1" applyFill="1" applyBorder="1" applyAlignment="1">
      <alignment horizontal="left" vertical="center"/>
    </xf>
    <xf numFmtId="186" fontId="118" fillId="36" borderId="35" xfId="0" applyNumberFormat="1" applyFont="1" applyFill="1" applyBorder="1" applyAlignment="1">
      <alignment horizontal="center" vertical="center"/>
    </xf>
    <xf numFmtId="187" fontId="119" fillId="36" borderId="37" xfId="0" applyNumberFormat="1" applyFont="1" applyFill="1" applyBorder="1" applyAlignment="1">
      <alignment horizontal="center" vertical="center"/>
    </xf>
    <xf numFmtId="2" fontId="119" fillId="36" borderId="37" xfId="0" applyNumberFormat="1" applyFont="1" applyFill="1" applyBorder="1" applyAlignment="1">
      <alignment horizontal="center" vertical="center"/>
    </xf>
    <xf numFmtId="1" fontId="119" fillId="36" borderId="37" xfId="0" applyNumberFormat="1" applyFont="1" applyFill="1" applyBorder="1" applyAlignment="1">
      <alignment horizontal="center" vertical="center"/>
    </xf>
    <xf numFmtId="188" fontId="119" fillId="36" borderId="38" xfId="0" applyNumberFormat="1" applyFont="1" applyFill="1" applyBorder="1" applyAlignment="1">
      <alignment horizontal="center"/>
    </xf>
    <xf numFmtId="0" fontId="118" fillId="36" borderId="35" xfId="0" applyFont="1" applyFill="1" applyBorder="1" applyAlignment="1">
      <alignment horizontal="left" vertical="center"/>
    </xf>
    <xf numFmtId="2" fontId="119" fillId="36" borderId="37" xfId="0" applyNumberFormat="1" applyFont="1" applyFill="1" applyBorder="1" applyAlignment="1">
      <alignment horizontal="center"/>
    </xf>
    <xf numFmtId="1" fontId="119" fillId="36" borderId="37" xfId="0" applyNumberFormat="1" applyFont="1" applyFill="1" applyBorder="1" applyAlignment="1">
      <alignment horizontal="center"/>
    </xf>
    <xf numFmtId="189" fontId="119" fillId="35" borderId="35" xfId="0" applyNumberFormat="1" applyFont="1" applyFill="1" applyBorder="1" applyAlignment="1">
      <alignment horizontal="center" vertical="center"/>
    </xf>
    <xf numFmtId="188" fontId="0" fillId="0" borderId="0" xfId="0" applyNumberFormat="1"/>
    <xf numFmtId="0" fontId="120" fillId="37" borderId="0" xfId="0" applyFont="1" applyFill="1"/>
    <xf numFmtId="0" fontId="121" fillId="37" borderId="0" xfId="0" applyFont="1" applyFill="1" applyAlignment="1">
      <alignment horizontal="left" indent="2"/>
    </xf>
    <xf numFmtId="0" fontId="122" fillId="0" borderId="0" xfId="0" applyFont="1"/>
    <xf numFmtId="0" fontId="123" fillId="0" borderId="0" xfId="0" applyFont="1" applyAlignment="1">
      <alignment horizontal="left" indent="2"/>
    </xf>
    <xf numFmtId="0" fontId="122" fillId="38" borderId="0" xfId="0" applyFont="1" applyFill="1"/>
    <xf numFmtId="0" fontId="124" fillId="39" borderId="0" xfId="0" applyFont="1" applyFill="1" applyAlignment="1">
      <alignment horizontal="center" vertical="center"/>
    </xf>
    <xf numFmtId="0" fontId="122" fillId="0" borderId="0" xfId="0" applyFont="1" applyAlignment="1">
      <alignment horizontal="left" indent="2"/>
    </xf>
    <xf numFmtId="181" fontId="122" fillId="38" borderId="0" xfId="0" applyNumberFormat="1" applyFont="1" applyFill="1"/>
    <xf numFmtId="181" fontId="82" fillId="0" borderId="0" xfId="0" applyNumberFormat="1" applyFont="1"/>
    <xf numFmtId="0" fontId="124" fillId="40" borderId="0" xfId="0" applyFont="1" applyFill="1" applyAlignment="1">
      <alignment horizontal="center" vertical="center"/>
    </xf>
    <xf numFmtId="0" fontId="122" fillId="0" borderId="0" xfId="0" applyFont="1" applyAlignment="1">
      <alignment horizontal="left" indent="4"/>
    </xf>
    <xf numFmtId="3" fontId="122" fillId="0" borderId="0" xfId="0" applyNumberFormat="1" applyFont="1"/>
    <xf numFmtId="0" fontId="122" fillId="41" borderId="0" xfId="0" applyFont="1" applyFill="1"/>
    <xf numFmtId="0" fontId="123" fillId="41" borderId="0" xfId="0" applyFont="1" applyFill="1" applyAlignment="1">
      <alignment horizontal="left" indent="2"/>
    </xf>
    <xf numFmtId="0" fontId="122" fillId="0" borderId="12" xfId="0" applyFont="1" applyBorder="1"/>
    <xf numFmtId="0" fontId="125" fillId="42" borderId="0" xfId="0" applyFont="1" applyFill="1"/>
    <xf numFmtId="0" fontId="122" fillId="0" borderId="12" xfId="0" applyFont="1" applyBorder="1" applyAlignment="1">
      <alignment horizontal="left"/>
    </xf>
    <xf numFmtId="1" fontId="122" fillId="0" borderId="0" xfId="0" applyNumberFormat="1" applyFont="1"/>
    <xf numFmtId="3" fontId="122" fillId="38" borderId="0" xfId="0" applyNumberFormat="1" applyFont="1" applyFill="1"/>
    <xf numFmtId="2" fontId="122" fillId="0" borderId="12" xfId="0" applyNumberFormat="1" applyFont="1" applyBorder="1"/>
    <xf numFmtId="1" fontId="122" fillId="0" borderId="12" xfId="0" applyNumberFormat="1" applyFont="1" applyBorder="1"/>
    <xf numFmtId="3" fontId="122" fillId="0" borderId="12" xfId="0" applyNumberFormat="1" applyFont="1" applyBorder="1"/>
    <xf numFmtId="9" fontId="123" fillId="0" borderId="0" xfId="0" applyNumberFormat="1" applyFont="1" applyAlignment="1">
      <alignment horizontal="left" indent="2"/>
    </xf>
    <xf numFmtId="190" fontId="119" fillId="36" borderId="37" xfId="0" applyNumberFormat="1" applyFont="1" applyFill="1" applyBorder="1" applyAlignment="1">
      <alignment horizontal="center" vertical="center"/>
    </xf>
    <xf numFmtId="182" fontId="81" fillId="19" borderId="11" xfId="19" applyNumberFormat="1" applyFont="1" applyFill="1" applyBorder="1"/>
    <xf numFmtId="0" fontId="82" fillId="19" borderId="11" xfId="0" applyFont="1" applyFill="1" applyBorder="1"/>
    <xf numFmtId="181" fontId="85" fillId="0" borderId="11" xfId="10" applyNumberFormat="1" applyFont="1" applyFill="1" applyBorder="1"/>
    <xf numFmtId="181" fontId="86" fillId="0" borderId="11" xfId="10" applyNumberFormat="1" applyFont="1" applyFill="1" applyBorder="1"/>
    <xf numFmtId="181" fontId="84" fillId="0" borderId="11" xfId="10" applyNumberFormat="1" applyFont="1" applyFill="1" applyBorder="1"/>
    <xf numFmtId="41" fontId="86" fillId="0" borderId="11" xfId="0" applyNumberFormat="1" applyFont="1" applyBorder="1"/>
    <xf numFmtId="0" fontId="88" fillId="0" borderId="11" xfId="0" applyFont="1" applyBorder="1"/>
    <xf numFmtId="0" fontId="77" fillId="0" borderId="11" xfId="19" applyFont="1" applyBorder="1"/>
    <xf numFmtId="41" fontId="77" fillId="0" borderId="11" xfId="10" applyNumberFormat="1" applyFont="1" applyBorder="1"/>
    <xf numFmtId="41" fontId="77" fillId="0" borderId="11" xfId="19" applyNumberFormat="1" applyFont="1" applyBorder="1"/>
    <xf numFmtId="0" fontId="0" fillId="0" borderId="11" xfId="0" applyBorder="1"/>
    <xf numFmtId="41" fontId="91" fillId="0" borderId="11" xfId="10" applyNumberFormat="1" applyFont="1" applyBorder="1"/>
    <xf numFmtId="10" fontId="77" fillId="0" borderId="11" xfId="19" applyNumberFormat="1" applyFont="1" applyBorder="1"/>
    <xf numFmtId="191" fontId="0" fillId="0" borderId="0" xfId="0" applyNumberFormat="1"/>
    <xf numFmtId="44" fontId="0" fillId="0" borderId="0" xfId="1" applyFont="1"/>
    <xf numFmtId="0" fontId="0" fillId="0" borderId="0" xfId="0" applyAlignment="1">
      <alignment horizontal="center"/>
    </xf>
    <xf numFmtId="183" fontId="0" fillId="0" borderId="0" xfId="1" applyNumberFormat="1" applyFont="1"/>
    <xf numFmtId="44" fontId="18" fillId="2" borderId="1" xfId="1" applyFont="1" applyFill="1" applyBorder="1" applyAlignment="1">
      <alignment horizontal="right"/>
    </xf>
    <xf numFmtId="179" fontId="22" fillId="0" borderId="0" xfId="0" applyNumberFormat="1" applyFont="1"/>
    <xf numFmtId="0" fontId="0" fillId="0" borderId="0" xfId="0" applyAlignment="1">
      <alignment horizontal="center" vertical="center"/>
    </xf>
    <xf numFmtId="183" fontId="0" fillId="0" borderId="0" xfId="0" applyNumberFormat="1"/>
    <xf numFmtId="0" fontId="0" fillId="43" borderId="0" xfId="0" applyFill="1"/>
    <xf numFmtId="183" fontId="0" fillId="43" borderId="0" xfId="0" applyNumberFormat="1" applyFill="1"/>
    <xf numFmtId="0" fontId="0" fillId="0" borderId="10" xfId="0" applyBorder="1" applyAlignment="1">
      <alignment horizontal="center"/>
    </xf>
    <xf numFmtId="44" fontId="0" fillId="0" borderId="10" xfId="1" applyFont="1" applyBorder="1" applyAlignment="1">
      <alignment horizontal="center" wrapText="1"/>
    </xf>
    <xf numFmtId="191" fontId="0" fillId="0" borderId="10" xfId="0" applyNumberFormat="1" applyBorder="1" applyAlignment="1">
      <alignment horizontal="center"/>
    </xf>
    <xf numFmtId="183" fontId="0" fillId="0" borderId="10" xfId="1" applyNumberFormat="1" applyFont="1" applyBorder="1" applyAlignment="1">
      <alignment horizontal="center"/>
    </xf>
    <xf numFmtId="183" fontId="0" fillId="0" borderId="10" xfId="0" applyNumberFormat="1" applyBorder="1" applyAlignment="1">
      <alignment horizontal="center"/>
    </xf>
    <xf numFmtId="191" fontId="0" fillId="0" borderId="10" xfId="0" applyNumberFormat="1" applyBorder="1"/>
    <xf numFmtId="183" fontId="0" fillId="0" borderId="10" xfId="1" applyNumberFormat="1" applyFont="1" applyBorder="1"/>
    <xf numFmtId="0" fontId="0" fillId="0" borderId="10" xfId="0" applyBorder="1"/>
    <xf numFmtId="191" fontId="0" fillId="0" borderId="0" xfId="0" applyNumberFormat="1" applyAlignment="1">
      <alignment horizontal="center" vertical="center"/>
    </xf>
    <xf numFmtId="191" fontId="0" fillId="43" borderId="0" xfId="0" applyNumberFormat="1" applyFill="1" applyAlignment="1">
      <alignment horizontal="center" vertical="center"/>
    </xf>
    <xf numFmtId="0" fontId="102" fillId="44" borderId="0" xfId="0" applyFont="1" applyFill="1"/>
    <xf numFmtId="183" fontId="102" fillId="44" borderId="0" xfId="1" applyNumberFormat="1" applyFont="1" applyFill="1"/>
    <xf numFmtId="191" fontId="102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right"/>
    </xf>
    <xf numFmtId="0" fontId="126" fillId="0" borderId="0" xfId="0" applyFont="1" applyAlignment="1">
      <alignment horizontal="right"/>
    </xf>
    <xf numFmtId="191" fontId="0" fillId="0" borderId="0" xfId="1" applyNumberFormat="1" applyFont="1"/>
    <xf numFmtId="183" fontId="55" fillId="0" borderId="0" xfId="1" applyNumberFormat="1" applyFont="1"/>
    <xf numFmtId="191" fontId="0" fillId="0" borderId="0" xfId="1" applyNumberFormat="1" applyFont="1" applyAlignment="1">
      <alignment horizontal="center" vertical="center"/>
    </xf>
    <xf numFmtId="0" fontId="82" fillId="19" borderId="1" xfId="0" applyFont="1" applyFill="1" applyBorder="1"/>
    <xf numFmtId="181" fontId="85" fillId="0" borderId="1" xfId="10" applyNumberFormat="1" applyFont="1" applyFill="1" applyBorder="1"/>
    <xf numFmtId="181" fontId="86" fillId="0" borderId="1" xfId="10" applyNumberFormat="1" applyFont="1" applyFill="1" applyBorder="1"/>
    <xf numFmtId="181" fontId="84" fillId="0" borderId="1" xfId="10" applyNumberFormat="1" applyFont="1" applyFill="1" applyBorder="1"/>
    <xf numFmtId="41" fontId="86" fillId="0" borderId="1" xfId="0" applyNumberFormat="1" applyFont="1" applyBorder="1"/>
    <xf numFmtId="0" fontId="88" fillId="0" borderId="1" xfId="0" applyFont="1" applyBorder="1"/>
    <xf numFmtId="182" fontId="77" fillId="0" borderId="1" xfId="19" applyNumberFormat="1" applyFont="1"/>
    <xf numFmtId="0" fontId="0" fillId="0" borderId="1" xfId="0" applyBorder="1"/>
    <xf numFmtId="41" fontId="91" fillId="0" borderId="1" xfId="10" applyNumberFormat="1" applyFont="1" applyBorder="1"/>
    <xf numFmtId="0" fontId="127" fillId="9" borderId="1" xfId="0" applyFont="1" applyFill="1" applyBorder="1"/>
    <xf numFmtId="0" fontId="128" fillId="12" borderId="1" xfId="0" applyFont="1" applyFill="1" applyBorder="1" applyAlignment="1">
      <alignment horizontal="center"/>
    </xf>
    <xf numFmtId="0" fontId="129" fillId="2" borderId="1" xfId="0" applyFont="1" applyFill="1" applyBorder="1" applyAlignment="1">
      <alignment horizontal="center"/>
    </xf>
    <xf numFmtId="166" fontId="130" fillId="2" borderId="1" xfId="0" applyNumberFormat="1" applyFont="1" applyFill="1" applyBorder="1" applyAlignment="1">
      <alignment horizontal="center"/>
    </xf>
    <xf numFmtId="166" fontId="131" fillId="2" borderId="5" xfId="0" applyNumberFormat="1" applyFont="1" applyFill="1" applyBorder="1" applyAlignment="1">
      <alignment horizontal="center"/>
    </xf>
    <xf numFmtId="166" fontId="129" fillId="2" borderId="1" xfId="0" applyNumberFormat="1" applyFont="1" applyFill="1" applyBorder="1" applyAlignment="1">
      <alignment horizontal="center"/>
    </xf>
    <xf numFmtId="0" fontId="130" fillId="2" borderId="1" xfId="0" applyFont="1" applyFill="1" applyBorder="1" applyAlignment="1">
      <alignment horizontal="center"/>
    </xf>
    <xf numFmtId="10" fontId="130" fillId="2" borderId="1" xfId="11" applyNumberFormat="1" applyFont="1" applyFill="1" applyBorder="1" applyAlignment="1">
      <alignment horizontal="center"/>
    </xf>
    <xf numFmtId="10" fontId="131" fillId="2" borderId="5" xfId="11" applyNumberFormat="1" applyFont="1" applyFill="1" applyBorder="1" applyAlignment="1">
      <alignment horizontal="center"/>
    </xf>
    <xf numFmtId="179" fontId="129" fillId="2" borderId="1" xfId="0" applyNumberFormat="1" applyFont="1" applyFill="1" applyBorder="1" applyAlignment="1">
      <alignment horizontal="center"/>
    </xf>
    <xf numFmtId="0" fontId="132" fillId="0" borderId="0" xfId="0" applyFont="1"/>
    <xf numFmtId="183" fontId="55" fillId="45" borderId="0" xfId="1" applyNumberFormat="1" applyFont="1" applyFill="1"/>
    <xf numFmtId="0" fontId="81" fillId="46" borderId="1" xfId="19" applyFont="1" applyFill="1"/>
    <xf numFmtId="0" fontId="81" fillId="46" borderId="11" xfId="19" applyFont="1" applyFill="1" applyBorder="1"/>
    <xf numFmtId="0" fontId="102" fillId="46" borderId="0" xfId="0" applyFont="1" applyFill="1"/>
    <xf numFmtId="182" fontId="81" fillId="0" borderId="12" xfId="19" applyNumberFormat="1" applyFont="1" applyBorder="1"/>
    <xf numFmtId="182" fontId="81" fillId="0" borderId="39" xfId="19" applyNumberFormat="1" applyFont="1" applyBorder="1"/>
    <xf numFmtId="0" fontId="133" fillId="0" borderId="0" xfId="0" applyFont="1" applyAlignment="1">
      <alignment horizontal="right"/>
    </xf>
    <xf numFmtId="0" fontId="81" fillId="0" borderId="1" xfId="19" applyFont="1" applyAlignment="1">
      <alignment horizontal="center" vertical="center"/>
    </xf>
    <xf numFmtId="0" fontId="134" fillId="0" borderId="1" xfId="19" applyFont="1" applyAlignment="1">
      <alignment horizontal="center" vertical="center"/>
    </xf>
    <xf numFmtId="41" fontId="77" fillId="46" borderId="20" xfId="10" applyNumberFormat="1" applyFont="1" applyFill="1" applyBorder="1"/>
    <xf numFmtId="41" fontId="77" fillId="46" borderId="20" xfId="10" applyNumberFormat="1" applyFont="1" applyFill="1" applyBorder="1" applyAlignment="1">
      <alignment horizontal="center" vertical="center"/>
    </xf>
    <xf numFmtId="9" fontId="77" fillId="46" borderId="20" xfId="19" applyNumberFormat="1" applyFont="1" applyFill="1" applyBorder="1"/>
    <xf numFmtId="9" fontId="81" fillId="46" borderId="20" xfId="19" applyNumberFormat="1" applyFont="1" applyFill="1" applyBorder="1"/>
    <xf numFmtId="0" fontId="102" fillId="44" borderId="12" xfId="0" applyFont="1" applyFill="1" applyBorder="1" applyAlignment="1">
      <alignment horizontal="center"/>
    </xf>
    <xf numFmtId="191" fontId="102" fillId="44" borderId="12" xfId="0" applyNumberFormat="1" applyFont="1" applyFill="1" applyBorder="1" applyAlignment="1">
      <alignment horizontal="center"/>
    </xf>
    <xf numFmtId="44" fontId="102" fillId="44" borderId="12" xfId="1" applyFont="1" applyFill="1" applyBorder="1" applyAlignment="1">
      <alignment horizontal="center"/>
    </xf>
    <xf numFmtId="0" fontId="102" fillId="44" borderId="12" xfId="0" applyFont="1" applyFill="1" applyBorder="1" applyAlignment="1">
      <alignment horizontal="left"/>
    </xf>
    <xf numFmtId="44" fontId="129" fillId="2" borderId="1" xfId="1" applyFont="1" applyFill="1" applyBorder="1" applyAlignment="1">
      <alignment horizontal="center"/>
    </xf>
    <xf numFmtId="0" fontId="135" fillId="44" borderId="35" xfId="0" applyFont="1" applyFill="1" applyBorder="1" applyAlignment="1">
      <alignment horizontal="center"/>
    </xf>
    <xf numFmtId="0" fontId="135" fillId="44" borderId="36" xfId="0" applyFont="1" applyFill="1" applyBorder="1" applyAlignment="1">
      <alignment horizontal="center"/>
    </xf>
    <xf numFmtId="0" fontId="102" fillId="44" borderId="0" xfId="0" applyFont="1" applyFill="1" applyAlignment="1">
      <alignment horizontal="center"/>
    </xf>
    <xf numFmtId="2" fontId="102" fillId="44" borderId="0" xfId="0" applyNumberFormat="1" applyFont="1" applyFill="1" applyAlignment="1">
      <alignment horizontal="center"/>
    </xf>
    <xf numFmtId="188" fontId="102" fillId="44" borderId="0" xfId="0" applyNumberFormat="1" applyFont="1" applyFill="1" applyAlignment="1">
      <alignment horizontal="center"/>
    </xf>
    <xf numFmtId="166" fontId="14" fillId="0" borderId="1" xfId="0" applyNumberFormat="1" applyFont="1" applyBorder="1" applyAlignment="1">
      <alignment horizontal="center" vertical="center"/>
    </xf>
    <xf numFmtId="166" fontId="21" fillId="0" borderId="1" xfId="0" applyNumberFormat="1" applyFont="1" applyBorder="1" applyAlignment="1">
      <alignment horizontal="right"/>
    </xf>
    <xf numFmtId="10" fontId="136" fillId="2" borderId="1" xfId="11" applyNumberFormat="1" applyFont="1" applyFill="1" applyBorder="1" applyAlignment="1">
      <alignment horizontal="center" vertical="center"/>
    </xf>
    <xf numFmtId="0" fontId="137" fillId="2" borderId="1" xfId="0" applyFont="1" applyFill="1" applyBorder="1"/>
    <xf numFmtId="9" fontId="136" fillId="2" borderId="5" xfId="11" applyFont="1" applyFill="1" applyBorder="1" applyAlignment="1">
      <alignment horizontal="center" vertical="center"/>
    </xf>
    <xf numFmtId="0" fontId="1" fillId="0" borderId="0" xfId="0" applyFont="1"/>
    <xf numFmtId="0" fontId="22" fillId="6" borderId="0" xfId="0" applyFont="1" applyFill="1"/>
    <xf numFmtId="167" fontId="22" fillId="6" borderId="0" xfId="0" applyNumberFormat="1" applyFont="1" applyFill="1"/>
    <xf numFmtId="0" fontId="22" fillId="6" borderId="0" xfId="0" applyFont="1" applyFill="1" applyAlignment="1">
      <alignment horizontal="right"/>
    </xf>
    <xf numFmtId="166" fontId="11" fillId="0" borderId="5" xfId="0" applyNumberFormat="1" applyFont="1" applyBorder="1"/>
    <xf numFmtId="0" fontId="20" fillId="0" borderId="5" xfId="0" applyFont="1" applyBorder="1"/>
    <xf numFmtId="166" fontId="21" fillId="0" borderId="5" xfId="0" applyNumberFormat="1" applyFont="1" applyBorder="1"/>
    <xf numFmtId="166" fontId="20" fillId="0" borderId="5" xfId="0" applyNumberFormat="1" applyFont="1" applyBorder="1"/>
    <xf numFmtId="0" fontId="11" fillId="0" borderId="5" xfId="0" applyFont="1" applyBorder="1"/>
    <xf numFmtId="166" fontId="11" fillId="0" borderId="5" xfId="0" applyNumberFormat="1" applyFont="1" applyBorder="1" applyAlignment="1">
      <alignment horizontal="center"/>
    </xf>
    <xf numFmtId="167" fontId="11" fillId="0" borderId="5" xfId="0" applyNumberFormat="1" applyFont="1" applyBorder="1" applyAlignment="1">
      <alignment horizontal="center"/>
    </xf>
    <xf numFmtId="166" fontId="13" fillId="0" borderId="5" xfId="0" applyNumberFormat="1" applyFont="1" applyBorder="1"/>
    <xf numFmtId="0" fontId="20" fillId="0" borderId="5" xfId="0" applyFont="1" applyBorder="1" applyAlignment="1">
      <alignment horizontal="center"/>
    </xf>
    <xf numFmtId="166" fontId="20" fillId="0" borderId="5" xfId="0" applyNumberFormat="1" applyFont="1" applyBorder="1" applyAlignment="1">
      <alignment horizontal="center"/>
    </xf>
    <xf numFmtId="0" fontId="20" fillId="0" borderId="6" xfId="0" applyFont="1" applyBorder="1"/>
    <xf numFmtId="166" fontId="20" fillId="0" borderId="6" xfId="0" applyNumberFormat="1" applyFont="1" applyBorder="1"/>
    <xf numFmtId="0" fontId="1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 wrapText="1"/>
    </xf>
    <xf numFmtId="0" fontId="1" fillId="0" borderId="10" xfId="0" applyFont="1" applyBorder="1" applyAlignment="1">
      <alignment horizontal="center" vertical="center"/>
    </xf>
    <xf numFmtId="10" fontId="50" fillId="12" borderId="1" xfId="0" applyNumberFormat="1" applyFont="1" applyFill="1" applyBorder="1"/>
    <xf numFmtId="0" fontId="22" fillId="6" borderId="1" xfId="4" applyFont="1" applyFill="1"/>
    <xf numFmtId="177" fontId="20" fillId="6" borderId="1" xfId="4" applyNumberFormat="1" applyFont="1" applyFill="1"/>
    <xf numFmtId="10" fontId="22" fillId="6" borderId="1" xfId="4" applyNumberFormat="1" applyFont="1" applyFill="1"/>
    <xf numFmtId="10" fontId="22" fillId="6" borderId="1" xfId="11" applyNumberFormat="1" applyFont="1" applyFill="1" applyBorder="1"/>
    <xf numFmtId="166" fontId="22" fillId="6" borderId="1" xfId="4" applyNumberFormat="1" applyFont="1" applyFill="1"/>
    <xf numFmtId="0" fontId="20" fillId="0" borderId="1" xfId="6" applyFont="1" applyAlignment="1">
      <alignment horizontal="left" vertical="center"/>
    </xf>
    <xf numFmtId="0" fontId="20" fillId="0" borderId="1" xfId="6" applyFont="1"/>
    <xf numFmtId="0" fontId="20" fillId="6" borderId="1" xfId="6" applyFont="1" applyFill="1" applyAlignment="1">
      <alignment horizontal="left" vertical="center"/>
    </xf>
    <xf numFmtId="0" fontId="22" fillId="6" borderId="1" xfId="6" applyFont="1" applyFill="1"/>
    <xf numFmtId="0" fontId="22" fillId="0" borderId="1" xfId="6" applyFont="1"/>
    <xf numFmtId="4" fontId="20" fillId="0" borderId="1" xfId="9" applyNumberFormat="1" applyFont="1" applyFill="1" applyBorder="1" applyAlignment="1">
      <alignment horizontal="right" vertical="center" wrapText="1"/>
    </xf>
    <xf numFmtId="43" fontId="22" fillId="0" borderId="1" xfId="6" applyNumberFormat="1" applyFont="1"/>
    <xf numFmtId="0" fontId="22" fillId="0" borderId="8" xfId="6" applyFont="1" applyBorder="1"/>
    <xf numFmtId="43" fontId="22" fillId="0" borderId="8" xfId="10" applyFont="1" applyBorder="1"/>
    <xf numFmtId="0" fontId="50" fillId="12" borderId="1" xfId="0" applyFont="1" applyFill="1" applyBorder="1" applyAlignment="1">
      <alignment horizontal="center"/>
    </xf>
    <xf numFmtId="179" fontId="139" fillId="0" borderId="6" xfId="0" applyNumberFormat="1" applyFont="1" applyBorder="1"/>
    <xf numFmtId="43" fontId="140" fillId="2" borderId="1" xfId="0" applyNumberFormat="1" applyFont="1" applyFill="1" applyBorder="1"/>
    <xf numFmtId="0" fontId="138" fillId="0" borderId="0" xfId="0" applyFont="1"/>
    <xf numFmtId="44" fontId="141" fillId="2" borderId="1" xfId="0" applyNumberFormat="1" applyFont="1" applyFill="1" applyBorder="1"/>
    <xf numFmtId="183" fontId="0" fillId="0" borderId="0" xfId="0" applyNumberFormat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83" fontId="0" fillId="0" borderId="10" xfId="0" applyNumberFormat="1" applyBorder="1"/>
    <xf numFmtId="0" fontId="1" fillId="0" borderId="10" xfId="0" applyFont="1" applyBorder="1"/>
    <xf numFmtId="0" fontId="95" fillId="20" borderId="10" xfId="22" applyFont="1" applyFill="1" applyBorder="1" applyAlignment="1">
      <alignment horizontal="left"/>
    </xf>
    <xf numFmtId="0" fontId="95" fillId="14" borderId="10" xfId="22" applyFont="1" applyFill="1" applyBorder="1" applyAlignment="1">
      <alignment horizontal="center"/>
    </xf>
    <xf numFmtId="0" fontId="95" fillId="0" borderId="18" xfId="22" applyFont="1" applyBorder="1" applyAlignment="1">
      <alignment horizontal="center"/>
    </xf>
    <xf numFmtId="0" fontId="95" fillId="0" borderId="29" xfId="22" applyFont="1" applyBorder="1" applyAlignment="1">
      <alignment horizontal="center"/>
    </xf>
    <xf numFmtId="0" fontId="95" fillId="0" borderId="31" xfId="22" applyFont="1" applyBorder="1" applyAlignment="1">
      <alignment horizontal="center"/>
    </xf>
    <xf numFmtId="0" fontId="95" fillId="0" borderId="1" xfId="22" applyFont="1" applyAlignment="1">
      <alignment horizontal="center"/>
    </xf>
    <xf numFmtId="0" fontId="95" fillId="0" borderId="33" xfId="22" applyFont="1" applyBorder="1" applyAlignment="1">
      <alignment horizontal="center"/>
    </xf>
    <xf numFmtId="0" fontId="95" fillId="0" borderId="34" xfId="22" applyFont="1" applyBorder="1" applyAlignment="1">
      <alignment horizontal="center"/>
    </xf>
    <xf numFmtId="0" fontId="69" fillId="16" borderId="15" xfId="31" applyFont="1" applyFill="1" applyBorder="1" applyAlignment="1">
      <alignment horizontal="center" vertical="center"/>
    </xf>
    <xf numFmtId="0" fontId="69" fillId="16" borderId="26" xfId="31" applyFont="1" applyFill="1" applyBorder="1" applyAlignment="1">
      <alignment horizontal="center" vertical="center"/>
    </xf>
    <xf numFmtId="0" fontId="69" fillId="16" borderId="14" xfId="31" applyFont="1" applyFill="1" applyBorder="1" applyAlignment="1">
      <alignment horizontal="center" vertical="center"/>
    </xf>
    <xf numFmtId="4" fontId="70" fillId="0" borderId="28" xfId="31" applyNumberFormat="1" applyFont="1" applyBorder="1" applyAlignment="1">
      <alignment horizontal="center" vertical="center"/>
    </xf>
    <xf numFmtId="4" fontId="70" fillId="0" borderId="27" xfId="31" applyNumberFormat="1" applyFont="1" applyBorder="1" applyAlignment="1">
      <alignment horizontal="center" vertical="center"/>
    </xf>
    <xf numFmtId="2" fontId="95" fillId="0" borderId="10" xfId="22" applyNumberFormat="1" applyFont="1" applyBorder="1" applyAlignment="1">
      <alignment horizontal="center" vertical="center"/>
    </xf>
    <xf numFmtId="0" fontId="69" fillId="16" borderId="18" xfId="22" applyFont="1" applyFill="1" applyBorder="1" applyAlignment="1">
      <alignment horizontal="center" vertical="center"/>
    </xf>
    <xf numFmtId="0" fontId="69" fillId="16" borderId="29" xfId="22" applyFont="1" applyFill="1" applyBorder="1" applyAlignment="1">
      <alignment horizontal="center" vertical="center"/>
    </xf>
    <xf numFmtId="0" fontId="69" fillId="16" borderId="19" xfId="22" applyFont="1" applyFill="1" applyBorder="1" applyAlignment="1">
      <alignment horizontal="center" vertical="center"/>
    </xf>
    <xf numFmtId="2" fontId="95" fillId="14" borderId="10" xfId="22" applyNumberFormat="1" applyFont="1" applyFill="1" applyBorder="1" applyAlignment="1">
      <alignment horizontal="center"/>
    </xf>
    <xf numFmtId="2" fontId="95" fillId="0" borderId="10" xfId="22" applyNumberFormat="1" applyFont="1" applyBorder="1" applyAlignment="1">
      <alignment horizontal="center" vertical="center" wrapText="1"/>
    </xf>
  </cellXfs>
  <cellStyles count="32">
    <cellStyle name="A3 297 x 420 mm 2" xfId="12" xr:uid="{00000000-0005-0000-0000-000000000000}"/>
    <cellStyle name="Comma" xfId="10" builtinId="3"/>
    <cellStyle name="Currency" xfId="1" builtinId="4"/>
    <cellStyle name="Hiperlink 2" xfId="25" xr:uid="{00000000-0005-0000-0000-000001000000}"/>
    <cellStyle name="Hiperlink 3" xfId="28" xr:uid="{00000000-0005-0000-0000-000002000000}"/>
    <cellStyle name="Moeda 2" xfId="9" xr:uid="{00000000-0005-0000-0000-000004000000}"/>
    <cellStyle name="Moeda 3" xfId="14" xr:uid="{00000000-0005-0000-0000-000005000000}"/>
    <cellStyle name="Moeda 4" xfId="18" xr:uid="{00000000-0005-0000-0000-000006000000}"/>
    <cellStyle name="Moeda 5" xfId="24" xr:uid="{00000000-0005-0000-0000-000007000000}"/>
    <cellStyle name="Normal" xfId="0" builtinId="0"/>
    <cellStyle name="Normal 10" xfId="31" xr:uid="{00000000-0005-0000-0000-000009000000}"/>
    <cellStyle name="Normal 2" xfId="4" xr:uid="{00000000-0005-0000-0000-00000A000000}"/>
    <cellStyle name="Normal 2 2" xfId="19" xr:uid="{00000000-0005-0000-0000-00000B000000}"/>
    <cellStyle name="Normal 2 2 3" xfId="7" xr:uid="{00000000-0005-0000-0000-00000C000000}"/>
    <cellStyle name="Normal 2 3" xfId="6" xr:uid="{00000000-0005-0000-0000-00000D000000}"/>
    <cellStyle name="Normal 3" xfId="13" xr:uid="{00000000-0005-0000-0000-00000E000000}"/>
    <cellStyle name="Normal 4" xfId="17" xr:uid="{00000000-0005-0000-0000-00000F000000}"/>
    <cellStyle name="Normal 5" xfId="22" xr:uid="{00000000-0005-0000-0000-000010000000}"/>
    <cellStyle name="Normal 6" xfId="20" xr:uid="{00000000-0005-0000-0000-000011000000}"/>
    <cellStyle name="Normal 7" xfId="2" xr:uid="{00000000-0005-0000-0000-000012000000}"/>
    <cellStyle name="Normal 8" xfId="23" xr:uid="{00000000-0005-0000-0000-000013000000}"/>
    <cellStyle name="Normal 9" xfId="29" xr:uid="{00000000-0005-0000-0000-000014000000}"/>
    <cellStyle name="Percent" xfId="11" builtinId="5"/>
    <cellStyle name="Porcentagem 10" xfId="3" xr:uid="{00000000-0005-0000-0000-000016000000}"/>
    <cellStyle name="Porcentagem 2" xfId="5" xr:uid="{00000000-0005-0000-0000-000017000000}"/>
    <cellStyle name="Porcentagem 3" xfId="15" xr:uid="{00000000-0005-0000-0000-000018000000}"/>
    <cellStyle name="Porcentagem 4" xfId="30" xr:uid="{00000000-0005-0000-0000-000019000000}"/>
    <cellStyle name="Porcentagem 5" xfId="21" xr:uid="{00000000-0005-0000-0000-00001A000000}"/>
    <cellStyle name="Vírgula 2" xfId="8" xr:uid="{00000000-0005-0000-0000-00001C000000}"/>
    <cellStyle name="Vírgula 3" xfId="16" xr:uid="{00000000-0005-0000-0000-00001D000000}"/>
    <cellStyle name="Vírgula 4" xfId="26" xr:uid="{00000000-0005-0000-0000-00001E000000}"/>
    <cellStyle name="Vírgula 5" xfId="27" xr:uid="{00000000-0005-0000-0000-00001F000000}"/>
  </cellStyles>
  <dxfs count="3">
    <dxf>
      <fill>
        <patternFill patternType="solid">
          <fgColor rgb="FFFFE598"/>
          <bgColor rgb="FFFFE598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FF00"/>
          <bgColor rgb="FF00FF00"/>
        </patternFill>
      </fill>
    </dxf>
  </dxfs>
  <tableStyles count="0" defaultTableStyle="TableStyleMedium2" defaultPivotStyle="PivotStyleLight16"/>
  <colors>
    <mruColors>
      <color rgb="FF001F60"/>
      <color rgb="FF6CACDA"/>
      <color rgb="FF4668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Total dos investimentos</c:v>
          </c:tx>
          <c:spPr>
            <a:solidFill>
              <a:srgbClr val="5B9BD5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CAPEX!$E$18:$AN$18</c:f>
              <c:numCache>
                <c:formatCode>_(* #,##0_);_(* \(#,##0\);_(* "-"??_);_(@_)</c:formatCode>
                <c:ptCount val="36"/>
                <c:pt idx="0">
                  <c:v>29489.088791728489</c:v>
                </c:pt>
                <c:pt idx="1">
                  <c:v>7984.1675183333336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753-463B-BD71-DD618F20A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2646011"/>
        <c:axId val="2082114806"/>
      </c:barChart>
      <c:catAx>
        <c:axId val="17626460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82114806"/>
        <c:crosses val="autoZero"/>
        <c:auto val="1"/>
        <c:lblAlgn val="ctr"/>
        <c:lblOffset val="100"/>
        <c:noMultiLvlLbl val="1"/>
      </c:catAx>
      <c:valAx>
        <c:axId val="208211480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76264601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 rt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100"/>
              <a:t>Visitação</a:t>
            </a:r>
            <a:r>
              <a:rPr lang="pt-BR" sz="1100" baseline="0"/>
              <a:t> histórica </a:t>
            </a:r>
            <a:br>
              <a:rPr lang="pt-BR" sz="1100" baseline="0"/>
            </a:br>
            <a:r>
              <a:rPr lang="pt-BR" sz="1100" baseline="0"/>
              <a:t>| bioparque teresina</a:t>
            </a:r>
            <a:endParaRPr lang="pt-BR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'[2]estudo de demanda'!$C$58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'[2]estudo de demanda'!$B$59:$B$71</c:f>
              <c:strCache>
                <c:ptCount val="13"/>
                <c:pt idx="0">
                  <c:v>#REF!</c:v>
                </c:pt>
                <c:pt idx="1">
                  <c:v>#REF!</c:v>
                </c:pt>
                <c:pt idx="2">
                  <c:v>#REF!</c:v>
                </c:pt>
                <c:pt idx="3">
                  <c:v>#REF!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  <c:pt idx="12">
                  <c:v>#REF!</c:v>
                </c:pt>
              </c:strCache>
            </c:strRef>
          </c:cat>
          <c:val>
            <c:numRef>
              <c:f>'[2]estudo de demanda'!$C$59:$C$71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0-14DE-9A4F-8306-8E117750DFEE}"/>
            </c:ext>
          </c:extLst>
        </c:ser>
        <c:ser>
          <c:idx val="1"/>
          <c:order val="1"/>
          <c:tx>
            <c:strRef>
              <c:f>'[2]estudo de demanda'!$D$58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'[2]estudo de demanda'!$B$59:$B$71</c:f>
              <c:strCache>
                <c:ptCount val="13"/>
                <c:pt idx="0">
                  <c:v>#REF!</c:v>
                </c:pt>
                <c:pt idx="1">
                  <c:v>#REF!</c:v>
                </c:pt>
                <c:pt idx="2">
                  <c:v>#REF!</c:v>
                </c:pt>
                <c:pt idx="3">
                  <c:v>#REF!</c:v>
                </c:pt>
                <c:pt idx="4">
                  <c:v>#REF!</c:v>
                </c:pt>
                <c:pt idx="5">
                  <c:v>#REF!</c:v>
                </c:pt>
                <c:pt idx="6">
                  <c:v>#REF!</c:v>
                </c:pt>
                <c:pt idx="7">
                  <c:v>#REF!</c:v>
                </c:pt>
                <c:pt idx="8">
                  <c:v>#REF!</c:v>
                </c:pt>
                <c:pt idx="9">
                  <c:v>#REF!</c:v>
                </c:pt>
                <c:pt idx="10">
                  <c:v>#REF!</c:v>
                </c:pt>
                <c:pt idx="11">
                  <c:v>#REF!</c:v>
                </c:pt>
                <c:pt idx="12">
                  <c:v>#REF!</c:v>
                </c:pt>
              </c:strCache>
            </c:strRef>
          </c:cat>
          <c:val>
            <c:numRef>
              <c:f>'[2]estudo de demanda'!$D$59:$D$71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14DE-9A4F-8306-8E117750DF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984393183"/>
        <c:axId val="1984391743"/>
      </c:barChart>
      <c:catAx>
        <c:axId val="1984393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4391743"/>
        <c:crosses val="autoZero"/>
        <c:auto val="1"/>
        <c:lblAlgn val="ctr"/>
        <c:lblOffset val="100"/>
        <c:noMultiLvlLbl val="0"/>
      </c:catAx>
      <c:valAx>
        <c:axId val="198439174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4393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989511</xdr:colOff>
      <xdr:row>30</xdr:row>
      <xdr:rowOff>85816</xdr:rowOff>
    </xdr:from>
    <xdr:ext cx="8324850" cy="2286000"/>
    <xdr:graphicFrame macro="">
      <xdr:nvGraphicFramePr>
        <xdr:cNvPr id="748201292" name="Chart 1">
          <a:extLst>
            <a:ext uri="{FF2B5EF4-FFF2-40B4-BE49-F238E27FC236}">
              <a16:creationId xmlns:a16="http://schemas.microsoft.com/office/drawing/2014/main" id="{00000000-0008-0000-0000-00004CA598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491066</xdr:colOff>
      <xdr:row>108</xdr:row>
      <xdr:rowOff>85991</xdr:rowOff>
    </xdr:from>
    <xdr:to>
      <xdr:col>10</xdr:col>
      <xdr:colOff>625550</xdr:colOff>
      <xdr:row>120</xdr:row>
      <xdr:rowOff>134663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EE0BE43-4057-7B4A-85F4-F33B25FD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7466" y="15897491"/>
          <a:ext cx="4269604" cy="2323242"/>
        </a:xfrm>
        <a:prstGeom prst="rect">
          <a:avLst/>
        </a:prstGeom>
      </xdr:spPr>
    </xdr:pic>
    <xdr:clientData/>
  </xdr:twoCellAnchor>
  <xdr:twoCellAnchor>
    <xdr:from>
      <xdr:col>13</xdr:col>
      <xdr:colOff>174870</xdr:colOff>
      <xdr:row>67</xdr:row>
      <xdr:rowOff>61546</xdr:rowOff>
    </xdr:from>
    <xdr:to>
      <xdr:col>19</xdr:col>
      <xdr:colOff>743439</xdr:colOff>
      <xdr:row>82</xdr:row>
      <xdr:rowOff>167054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8CE1D6E-CC58-EE4C-B132-4BF796FDE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72</xdr:row>
      <xdr:rowOff>33866</xdr:rowOff>
    </xdr:from>
    <xdr:to>
      <xdr:col>7</xdr:col>
      <xdr:colOff>511810</xdr:colOff>
      <xdr:row>102</xdr:row>
      <xdr:rowOff>93979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720320F-F515-4309-867F-CEF5EFB3F437}"/>
            </a:ext>
          </a:extLst>
        </xdr:cNvPr>
        <xdr:cNvPicPr/>
      </xdr:nvPicPr>
      <xdr:blipFill>
        <a:blip xmlns:r="http://schemas.openxmlformats.org/officeDocument/2006/relationships" r:embed="rId1"/>
        <a:srcRect l="18737" t="20586" r="22760" b="21398"/>
        <a:stretch>
          <a:fillRect/>
        </a:stretch>
      </xdr:blipFill>
      <xdr:spPr>
        <a:xfrm>
          <a:off x="67733" y="11819466"/>
          <a:ext cx="9952567" cy="5009303"/>
        </a:xfrm>
        <a:prstGeom prst="rect">
          <a:avLst/>
        </a:prstGeom>
        <a:ln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.shortcut-targets-by-id\1gU4MCB2oNNFrqNcbN5yGDY6XnK3S5y-h\ICO%20COMPARTILHADO\Clientes\Servfaz\Modelagem%20Parque%20de%20Exposi&#231;&#245;es\Produtos\Pasta%20Compartilhada%20-%20Centro%20de%20Conven&#231;&#245;es\Produtos\Revisados\DEMANDA%20E%20COMPOSICAO%20RECEITA.xlsx?D97A52E6" TargetMode="External"/><Relationship Id="rId1" Type="http://schemas.openxmlformats.org/officeDocument/2006/relationships/externalLinkPath" Target="file:///\\D97A52E6\DEMANDA%20E%20COMPOSICAO%20RECEI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romeomugnierdealmeida/Downloads/DEMANDA%20E%20COMPOSICAO%20RECEI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udo de Demanda"/>
      <sheetName val="benchmarks preços"/>
      <sheetName val="MATRIZ DE USOS"/>
    </sheetNames>
    <sheetDataSet>
      <sheetData sheetId="0" refreshError="1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udo de demand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2.rio.rj.gov.br/sco/composicaosco.cfm?item=1SE05050050%2F202408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antigo.mdr.gov.br/images/stories/ArquivosSNSA/Arquivos_PDF/Snis/RESIDUOS_SOLIDOS/DIAGNOSTICO_TEMATICO_VISAO_GERAL_RS_SNIS_2023_ATUALIZADO.pdf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setur.es.gov.br/Media/Setur/Setur/Pavilh%C3%A3o%20Carapina/10.%20Exagerado%20Outlet%20Edi%C3%A7%C3%A3o%20Outubro%202023%20-%2018%20a%2022%20de%20outubro%20de%202023.pdf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s://setur.es.gov.br/Media/Setur/Setur/Pavilh%C3%A3o%20Carapina/5.%20Feir%C3%A3o%20de%20Carros%20Edi%C3%A7%C3%A3o%20Junho%202023%20-%2023%20a%2025%20de%20junho%20de%202023.pdf" TargetMode="External"/><Relationship Id="rId7" Type="http://schemas.openxmlformats.org/officeDocument/2006/relationships/hyperlink" Target="https://setur.es.gov.br/Media/Setur/Setur/Pavilh%C3%A3o%20Carapina/9.%20Feira%20Profiss%C3%B5es%20-%2005%20a%2007%20de%20outubro%20de%202023.pdf" TargetMode="External"/><Relationship Id="rId12" Type="http://schemas.openxmlformats.org/officeDocument/2006/relationships/printerSettings" Target="../printerSettings/printerSettings10.bin"/><Relationship Id="rId2" Type="http://schemas.openxmlformats.org/officeDocument/2006/relationships/hyperlink" Target="https://setur.es.gov.br/Media/Setur/Setur/Pavilh%C3%A3o%20Carapina/4.%20Feijoada%20do%20Jo%C3%A3o%202023%20-%2028%20de%20maio%20de%202023.pdf" TargetMode="External"/><Relationship Id="rId1" Type="http://schemas.openxmlformats.org/officeDocument/2006/relationships/hyperlink" Target="https://fealq.org.br/equoterapia/vivencia-com-cavalos/" TargetMode="External"/><Relationship Id="rId6" Type="http://schemas.openxmlformats.org/officeDocument/2006/relationships/hyperlink" Target="https://setur.es.gov.br/Media/Setur/Setur/Pavilh%C3%A3o%20Carapina/8.%20Acaps%20Trade%20Show%20-%2026%20a%2028%20de%20setembro%20de%202023.pdf" TargetMode="External"/><Relationship Id="rId11" Type="http://schemas.openxmlformats.org/officeDocument/2006/relationships/hyperlink" Target="https://www.icmbio.gov.br/parnaaparadosdaserra/guia-do-visitante/21-ingressos.html" TargetMode="External"/><Relationship Id="rId5" Type="http://schemas.openxmlformats.org/officeDocument/2006/relationships/hyperlink" Target="https://setur.es.gov.br/Media/Setur/Setur/Pavilh%C3%A3o%20Carapina/8.%20Acaps%20Trade%20Show%20-%2026%20a%2028%20de%20setembro%20de%202023.pdf" TargetMode="External"/><Relationship Id="rId10" Type="http://schemas.openxmlformats.org/officeDocument/2006/relationships/hyperlink" Target="https://www.googleadservices.com/pagead/aclk?sa=L&amp;ai=DChcSEwj6kuHXnJ-HAxWNCK0GHQpoA_oYABAAGgJwdg&amp;ase=2&amp;gclid=Cj0KCQjwhb60BhClARIsABGGtw8nCYajOOiUD66mvY55I67i36qe4k7J1BDAi8IhEpD_SzSs7u8WWX8aAvd0EALw_wcB&amp;ohost=www.google.com&amp;cid=CAESVuD2rCQpvK8JZVjPoO4dQbDGOBhtM-uNN0din2KdqSVwWsAWNM_LFkXfz8i_BzDMmVmrbU5R49NfrYPtQvrI6tn75TV3lInGTbkaeS4uXSdRU7sb3I8Y&amp;sig=AOD64_3JiRrZb_uzbcmv7iSYrvC6d7Zswg&amp;q&amp;nis=4&amp;adurl&amp;ved=2ahUKEwi5mNbXnJ-HAxV0rZUCHVSQDIUQ0Qx6BAgDEAE" TargetMode="External"/><Relationship Id="rId4" Type="http://schemas.openxmlformats.org/officeDocument/2006/relationships/hyperlink" Target="https://setur.es.gov.br/Media/Setur/Setur/Pavilh%C3%A3o%20Carapina/6.%20Mec%20Show%202023%20-%2008%20a%2010%20de%20agosto%20de%202023.pdf" TargetMode="External"/><Relationship Id="rId9" Type="http://schemas.openxmlformats.org/officeDocument/2006/relationships/hyperlink" Target="https://www.icmbio.gov.br/parnachapadadosveadeiros/guia-do-visitante/38-ingressos.html" TargetMode="External"/><Relationship Id="rId14" Type="http://schemas.openxmlformats.org/officeDocument/2006/relationships/vmlDrawing" Target="../drawings/vmlDrawing1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roll.com/en/insights/publications/cost-of-capital/recommended-us-equity-risk-premium-and-corresponding-risk-free-rates" TargetMode="External"/><Relationship Id="rId2" Type="http://schemas.openxmlformats.org/officeDocument/2006/relationships/hyperlink" Target="https://pages.stern.nyu.edu/~adamodar/New_Home_Page/datafile/optvar.html" TargetMode="External"/><Relationship Id="rId1" Type="http://schemas.openxmlformats.org/officeDocument/2006/relationships/hyperlink" Target="https://pages.stern.nyu.edu/~adamodar/New_Home_Page/datafile/optvar.html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kroll.com/en/insights/publications/cost-of-capital/recommended-us-equity-risk-premium-and-corresponding-risk-free-rates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CC2E5"/>
  </sheetPr>
  <dimension ref="A1:AM42"/>
  <sheetViews>
    <sheetView topLeftCell="A19" zoomScaleNormal="100" workbookViewId="0">
      <selection activeCell="E37" sqref="E37"/>
    </sheetView>
  </sheetViews>
  <sheetFormatPr defaultColWidth="14.42578125" defaultRowHeight="15" customHeight="1"/>
  <cols>
    <col min="1" max="1" width="6" bestFit="1" customWidth="1"/>
    <col min="2" max="2" width="35.5703125" bestFit="1" customWidth="1"/>
    <col min="3" max="3" width="14.28515625" bestFit="1" customWidth="1"/>
    <col min="4" max="4" width="12.42578125" bestFit="1" customWidth="1"/>
    <col min="5" max="5" width="31" bestFit="1" customWidth="1"/>
    <col min="6" max="6" width="28.85546875" bestFit="1" customWidth="1"/>
    <col min="7" max="7" width="15" bestFit="1" customWidth="1"/>
    <col min="8" max="8" width="11" bestFit="1" customWidth="1"/>
    <col min="9" max="9" width="3" customWidth="1"/>
    <col min="10" max="10" width="4" customWidth="1"/>
    <col min="11" max="11" width="37.28515625" bestFit="1" customWidth="1"/>
    <col min="12" max="12" width="6.28515625" bestFit="1" customWidth="1"/>
    <col min="13" max="13" width="16" bestFit="1" customWidth="1"/>
    <col min="14" max="14" width="15" bestFit="1" customWidth="1"/>
    <col min="15" max="15" width="16" bestFit="1" customWidth="1"/>
    <col min="16" max="16" width="23" bestFit="1" customWidth="1"/>
    <col min="17" max="17" width="6.28515625" bestFit="1" customWidth="1"/>
    <col min="18" max="18" width="13.5703125" bestFit="1" customWidth="1"/>
    <col min="19" max="19" width="12.28515625" bestFit="1" customWidth="1"/>
    <col min="20" max="20" width="20.140625" bestFit="1" customWidth="1"/>
    <col min="21" max="21" width="6.28515625" bestFit="1" customWidth="1"/>
    <col min="22" max="22" width="13.5703125" bestFit="1" customWidth="1"/>
    <col min="23" max="23" width="12.85546875" bestFit="1" customWidth="1"/>
    <col min="24" max="24" width="18.42578125" bestFit="1" customWidth="1"/>
    <col min="25" max="25" width="5.5703125" bestFit="1" customWidth="1"/>
    <col min="26" max="26" width="6.5703125" bestFit="1" customWidth="1"/>
    <col min="27" max="28" width="4.7109375" style="142" bestFit="1" customWidth="1"/>
    <col min="29" max="39" width="14.42578125" style="142"/>
  </cols>
  <sheetData>
    <row r="1" spans="1:26" ht="15" customHeight="1">
      <c r="A1" s="649">
        <v>60125</v>
      </c>
    </row>
    <row r="2" spans="1:26" ht="12.75" customHeight="1">
      <c r="B2" s="207" t="s">
        <v>0</v>
      </c>
      <c r="C2" s="208"/>
      <c r="D2" s="208"/>
      <c r="E2" s="1"/>
      <c r="F2" s="209" t="s">
        <v>1</v>
      </c>
      <c r="G2" s="161"/>
      <c r="H2" s="161"/>
      <c r="I2" s="1"/>
      <c r="J2" s="1"/>
      <c r="K2" s="209" t="s">
        <v>2</v>
      </c>
      <c r="L2" s="210" t="s">
        <v>3</v>
      </c>
      <c r="M2" s="210" t="s">
        <v>4</v>
      </c>
      <c r="N2" s="210" t="s">
        <v>5</v>
      </c>
      <c r="O2" s="1"/>
      <c r="P2" s="207" t="s">
        <v>6</v>
      </c>
      <c r="Q2" s="211" t="s">
        <v>3</v>
      </c>
      <c r="R2" s="210" t="s">
        <v>4</v>
      </c>
      <c r="S2" s="1"/>
      <c r="T2" s="207" t="s">
        <v>7</v>
      </c>
      <c r="U2" s="210" t="s">
        <v>3</v>
      </c>
      <c r="V2" s="210" t="s">
        <v>4</v>
      </c>
      <c r="W2" s="1"/>
      <c r="X2" s="207" t="s">
        <v>8</v>
      </c>
      <c r="Y2" s="211"/>
      <c r="Z2" s="166"/>
    </row>
    <row r="3" spans="1:26" ht="12.75" customHeight="1">
      <c r="B3" s="2" t="s">
        <v>9</v>
      </c>
      <c r="C3" s="4">
        <v>45658</v>
      </c>
      <c r="D3" s="1"/>
      <c r="E3" s="1"/>
      <c r="F3" s="5" t="s">
        <v>10</v>
      </c>
      <c r="G3" s="6">
        <f>WACC!C33</f>
        <v>0.11009532561728384</v>
      </c>
      <c r="H3" s="7"/>
      <c r="I3" s="1"/>
      <c r="J3" s="1"/>
      <c r="K3" s="160"/>
      <c r="L3" s="1"/>
      <c r="M3" s="1"/>
      <c r="N3" s="168"/>
      <c r="O3" s="1"/>
      <c r="P3" s="1"/>
      <c r="Q3" s="1"/>
      <c r="R3" s="1"/>
      <c r="S3" s="1"/>
      <c r="T3" s="1"/>
      <c r="U3" s="1"/>
      <c r="V3" s="1"/>
      <c r="W3" s="1"/>
      <c r="X3" s="212" t="s">
        <v>11</v>
      </c>
      <c r="Y3" s="213"/>
      <c r="Z3" s="167" t="s">
        <v>12</v>
      </c>
    </row>
    <row r="4" spans="1:26" ht="12.75" customHeight="1">
      <c r="B4" s="2" t="s">
        <v>13</v>
      </c>
      <c r="C4" s="9">
        <f>C5*12</f>
        <v>360</v>
      </c>
      <c r="D4" s="1" t="s">
        <v>14</v>
      </c>
      <c r="E4" s="1"/>
      <c r="F4" s="10" t="s">
        <v>15</v>
      </c>
      <c r="G4" s="11">
        <f>NPV(Painel!$G$3,FCF!E17:AM17)</f>
        <v>6.9185557794869639E-10</v>
      </c>
      <c r="H4" s="3" t="s">
        <v>16</v>
      </c>
      <c r="I4" s="1"/>
      <c r="J4" s="1"/>
      <c r="K4" s="100" t="str">
        <f>CAPEX!A8</f>
        <v>Execução de ETE</v>
      </c>
      <c r="L4" s="15" t="s">
        <v>17</v>
      </c>
      <c r="M4" s="169">
        <f>CAPEX!D8</f>
        <v>3439.08</v>
      </c>
      <c r="N4" s="169">
        <f>CAPEX!D22</f>
        <v>2063.4480000000003</v>
      </c>
      <c r="O4" s="1"/>
      <c r="P4" s="100" t="s">
        <v>18</v>
      </c>
      <c r="Q4" s="15" t="s">
        <v>17</v>
      </c>
      <c r="R4" s="139">
        <f>OPEX!C8</f>
        <v>0</v>
      </c>
      <c r="S4" s="1"/>
      <c r="T4" s="63" t="str">
        <f>Receitas!A32</f>
        <v>Charrete</v>
      </c>
      <c r="U4" s="15" t="s">
        <v>17</v>
      </c>
      <c r="V4" s="298">
        <f>Receitas!C32</f>
        <v>1524.0381302358617</v>
      </c>
      <c r="W4" s="1"/>
      <c r="X4" s="194"/>
      <c r="Y4" s="613"/>
      <c r="Z4" s="613"/>
    </row>
    <row r="5" spans="1:26" ht="12.75" customHeight="1">
      <c r="B5" s="2" t="s">
        <v>13</v>
      </c>
      <c r="C5" s="9">
        <f>30</f>
        <v>30</v>
      </c>
      <c r="D5" s="1" t="s">
        <v>19</v>
      </c>
      <c r="E5" s="1"/>
      <c r="F5" s="10" t="s">
        <v>20</v>
      </c>
      <c r="G5" s="214">
        <f>IRR(FCF!E17:AM17)*100</f>
        <v>11.009532561728674</v>
      </c>
      <c r="H5" s="3" t="s">
        <v>21</v>
      </c>
      <c r="I5" s="1"/>
      <c r="J5" s="1"/>
      <c r="K5" s="100" t="str">
        <f>CAPEX!A9</f>
        <v>Reforma Parque de Exposições</v>
      </c>
      <c r="L5" s="15" t="s">
        <v>17</v>
      </c>
      <c r="M5" s="169">
        <f>CAPEX!D9</f>
        <v>3371.6658207199998</v>
      </c>
      <c r="N5" s="169">
        <f>CAPEX!D23</f>
        <v>2335.0500000000002</v>
      </c>
      <c r="O5" s="1"/>
      <c r="P5" s="100" t="s">
        <v>22</v>
      </c>
      <c r="Q5" s="15" t="s">
        <v>17</v>
      </c>
      <c r="R5" s="139">
        <f>OPEX!C9</f>
        <v>9492.8330059077889</v>
      </c>
      <c r="S5" s="1"/>
      <c r="T5" s="63" t="str">
        <f>Receitas!A33</f>
        <v>Ecoterapia</v>
      </c>
      <c r="U5" s="15" t="s">
        <v>17</v>
      </c>
      <c r="V5" s="298">
        <f>Receitas!C33</f>
        <v>36576.915125660686</v>
      </c>
      <c r="W5" s="1"/>
      <c r="X5" s="192" t="s">
        <v>23</v>
      </c>
      <c r="Y5" s="188"/>
      <c r="Z5" s="613"/>
    </row>
    <row r="6" spans="1:26" ht="12.75" customHeight="1">
      <c r="B6" s="2" t="s">
        <v>24</v>
      </c>
      <c r="C6" s="16">
        <f>EOMONTH(C3,C4-1)+DAY(C3)-1</f>
        <v>56614</v>
      </c>
      <c r="D6" s="1"/>
      <c r="E6" s="1"/>
      <c r="F6" s="18" t="s">
        <v>25</v>
      </c>
      <c r="G6" s="384">
        <f>IRR(FCF!E28:AM28)</f>
        <v>0.11009532561728674</v>
      </c>
      <c r="H6" s="1"/>
      <c r="I6" s="1"/>
      <c r="J6" s="1"/>
      <c r="K6" s="100" t="str">
        <f>CAPEX!A10</f>
        <v>Estacionamento</v>
      </c>
      <c r="L6" s="15" t="s">
        <v>17</v>
      </c>
      <c r="M6" s="169">
        <f>CAPEX!D10</f>
        <v>2390.1864000000005</v>
      </c>
      <c r="N6" s="169">
        <f>CAPEX!D24</f>
        <v>1823.0400959999999</v>
      </c>
      <c r="O6" s="1"/>
      <c r="P6" s="100" t="s">
        <v>26</v>
      </c>
      <c r="Q6" s="15" t="s">
        <v>17</v>
      </c>
      <c r="R6" s="139">
        <f>OPEX!C10</f>
        <v>4068.9046825601813</v>
      </c>
      <c r="S6" s="1"/>
      <c r="T6" s="63" t="str">
        <f>Receitas!A34</f>
        <v>Nucleo aventura</v>
      </c>
      <c r="U6" s="15" t="s">
        <v>17</v>
      </c>
      <c r="V6" s="298">
        <f>Receitas!C34</f>
        <v>42916.913747441875</v>
      </c>
      <c r="W6" s="1"/>
      <c r="X6" s="193" t="s">
        <v>27</v>
      </c>
      <c r="Y6" s="190">
        <v>0</v>
      </c>
      <c r="Z6" s="613"/>
    </row>
    <row r="7" spans="1:26" ht="12.75" customHeight="1">
      <c r="B7" s="2" t="s">
        <v>28</v>
      </c>
      <c r="C7" s="17" t="s">
        <v>29</v>
      </c>
      <c r="D7" s="1"/>
      <c r="E7" s="1"/>
      <c r="F7" s="18"/>
      <c r="G7" s="19"/>
      <c r="H7" s="1"/>
      <c r="I7" s="1"/>
      <c r="J7" s="1"/>
      <c r="K7" s="100" t="str">
        <f>CAPEX!A11</f>
        <v>Open Mall</v>
      </c>
      <c r="L7" s="15" t="s">
        <v>17</v>
      </c>
      <c r="M7" s="169">
        <f>CAPEX!D11</f>
        <v>3312.1882999999998</v>
      </c>
      <c r="N7" s="169">
        <f>CAPEX!D25</f>
        <v>714</v>
      </c>
      <c r="O7" s="1"/>
      <c r="P7" s="100" t="s">
        <v>30</v>
      </c>
      <c r="Q7" s="15" t="s">
        <v>17</v>
      </c>
      <c r="R7" s="139">
        <f>OPEX!C11</f>
        <v>1991.729655056469</v>
      </c>
      <c r="S7" s="1"/>
      <c r="T7" s="63" t="str">
        <f>Receitas!A35</f>
        <v>Camp infantil</v>
      </c>
      <c r="U7" s="15" t="s">
        <v>17</v>
      </c>
      <c r="V7" s="298">
        <f>Receitas!C35</f>
        <v>73323.681866949672</v>
      </c>
      <c r="W7" s="1"/>
      <c r="X7" s="193" t="s">
        <v>31</v>
      </c>
      <c r="Y7" s="614">
        <f>SUM(Financiamento!E13:S13)</f>
        <v>0</v>
      </c>
      <c r="Z7" s="613" t="s">
        <v>16</v>
      </c>
    </row>
    <row r="8" spans="1:26" ht="12.75" customHeight="1">
      <c r="B8" s="2" t="s">
        <v>32</v>
      </c>
      <c r="C8" s="15" t="s">
        <v>33</v>
      </c>
      <c r="D8" s="1"/>
      <c r="E8" s="1"/>
      <c r="F8" s="2" t="s">
        <v>34</v>
      </c>
      <c r="G8" s="8">
        <f>DRE!D7</f>
        <v>399211.39091758244</v>
      </c>
      <c r="H8" s="20" t="s">
        <v>16</v>
      </c>
      <c r="I8" s="1"/>
      <c r="J8" s="1"/>
      <c r="K8" s="100" t="str">
        <f>CAPEX!A12</f>
        <v>Fazendinha e Aventura</v>
      </c>
      <c r="L8" s="15" t="s">
        <v>17</v>
      </c>
      <c r="M8" s="169">
        <f>CAPEX!D12</f>
        <v>901.0951</v>
      </c>
      <c r="N8" s="169">
        <f>CAPEX!D26</f>
        <v>357</v>
      </c>
      <c r="O8" s="1"/>
      <c r="P8" s="100" t="s">
        <v>35</v>
      </c>
      <c r="Q8" s="15" t="s">
        <v>17</v>
      </c>
      <c r="R8" s="139">
        <f>OPEX!C12</f>
        <v>8123.1158508513136</v>
      </c>
      <c r="S8" s="1"/>
      <c r="T8" s="63" t="str">
        <f>Receitas!A36</f>
        <v>Receptivo de visitantes</v>
      </c>
      <c r="U8" s="15" t="s">
        <v>17</v>
      </c>
      <c r="V8" s="298">
        <f>Receitas!C36</f>
        <v>128978.03915771004</v>
      </c>
      <c r="W8" s="139"/>
      <c r="X8" s="193" t="s">
        <v>36</v>
      </c>
      <c r="Y8" s="615" t="s">
        <v>37</v>
      </c>
      <c r="Z8" s="613"/>
    </row>
    <row r="9" spans="1:26" ht="12.75" customHeight="1">
      <c r="B9" s="2" t="s">
        <v>38</v>
      </c>
      <c r="C9" s="15" t="s">
        <v>39</v>
      </c>
      <c r="D9" s="1"/>
      <c r="E9" s="1"/>
      <c r="F9" s="2" t="s">
        <v>40</v>
      </c>
      <c r="G9" s="8">
        <f>C17</f>
        <v>5555.7191074569046</v>
      </c>
      <c r="H9" s="20" t="s">
        <v>16</v>
      </c>
      <c r="I9" s="1"/>
      <c r="J9" s="1"/>
      <c r="K9" s="100" t="str">
        <f>CAPEX!A13</f>
        <v>Parque Molhado</v>
      </c>
      <c r="L9" s="15" t="s">
        <v>17</v>
      </c>
      <c r="M9" s="169">
        <f>CAPEX!D13</f>
        <v>1637.4535860000001</v>
      </c>
      <c r="N9" s="169">
        <f>CAPEX!D27</f>
        <v>801.0000960000001</v>
      </c>
      <c r="O9" s="1"/>
      <c r="P9" s="100" t="s">
        <v>41</v>
      </c>
      <c r="Q9" s="15" t="s">
        <v>17</v>
      </c>
      <c r="R9" s="139">
        <f>OPEX!C13</f>
        <v>4895.9755672342126</v>
      </c>
      <c r="S9" s="1"/>
      <c r="T9" s="63" t="str">
        <f>Receitas!A37</f>
        <v xml:space="preserve">Estacionamento </v>
      </c>
      <c r="U9" s="15" t="s">
        <v>17</v>
      </c>
      <c r="V9" s="298">
        <f>Receitas!C37</f>
        <v>73333.266469291368</v>
      </c>
      <c r="W9" s="139"/>
      <c r="X9" s="193" t="s">
        <v>42</v>
      </c>
      <c r="Y9" s="190">
        <v>1.4999999999999999E-2</v>
      </c>
      <c r="Z9" s="613"/>
    </row>
    <row r="10" spans="1:26" ht="12.75" customHeight="1">
      <c r="B10" s="2" t="s">
        <v>43</v>
      </c>
      <c r="C10" s="15" t="s">
        <v>39</v>
      </c>
      <c r="D10" s="1"/>
      <c r="E10" s="1"/>
      <c r="F10" s="2" t="s">
        <v>44</v>
      </c>
      <c r="G10" s="8">
        <f>-DRE!D24</f>
        <v>200641.63911684303</v>
      </c>
      <c r="H10" s="20" t="s">
        <v>16</v>
      </c>
      <c r="I10" s="1"/>
      <c r="J10" s="1"/>
      <c r="K10" s="100" t="str">
        <f>CAPEX!A14</f>
        <v>Receptivo e espaço para eventos</v>
      </c>
      <c r="L10" s="15" t="s">
        <v>17</v>
      </c>
      <c r="M10" s="169">
        <f>CAPEX!D14</f>
        <v>12068.707700000001</v>
      </c>
      <c r="N10" s="169">
        <v>0</v>
      </c>
      <c r="O10" s="1"/>
      <c r="P10" s="100" t="s">
        <v>45</v>
      </c>
      <c r="Q10" s="15" t="s">
        <v>17</v>
      </c>
      <c r="R10" s="139">
        <f>OPEX!C14</f>
        <v>0</v>
      </c>
      <c r="S10" s="1"/>
      <c r="T10" s="63" t="str">
        <f>Receitas!A38</f>
        <v>Mall de Conveniências</v>
      </c>
      <c r="U10" s="15" t="s">
        <v>17</v>
      </c>
      <c r="V10" s="298">
        <f>Receitas!C38</f>
        <v>40847.856312658361</v>
      </c>
      <c r="W10" s="139"/>
      <c r="X10" s="193" t="s">
        <v>46</v>
      </c>
      <c r="Y10" s="191">
        <f>12*12</f>
        <v>144</v>
      </c>
      <c r="Z10" s="613" t="s">
        <v>14</v>
      </c>
    </row>
    <row r="11" spans="1:26" ht="12.75" customHeight="1">
      <c r="B11" s="207" t="s">
        <v>47</v>
      </c>
      <c r="C11" s="208"/>
      <c r="D11" s="208"/>
      <c r="E11" s="1"/>
      <c r="F11" s="2" t="s">
        <v>48</v>
      </c>
      <c r="G11" s="8">
        <f>CAPEX!D18</f>
        <v>37473.256310061821</v>
      </c>
      <c r="H11" s="20" t="s">
        <v>16</v>
      </c>
      <c r="I11" s="1"/>
      <c r="J11" s="1"/>
      <c r="K11" s="100" t="str">
        <f>CAPEX!A15</f>
        <v>Elaboração de Projeto</v>
      </c>
      <c r="L11" s="15" t="s">
        <v>17</v>
      </c>
      <c r="M11" s="169">
        <f>CAPEX!D15</f>
        <v>929.20898</v>
      </c>
      <c r="N11" s="169">
        <v>0</v>
      </c>
      <c r="O11" s="1"/>
      <c r="P11" s="100" t="s">
        <v>49</v>
      </c>
      <c r="Q11" s="15" t="s">
        <v>17</v>
      </c>
      <c r="R11" s="139">
        <f>OPEX!C15</f>
        <v>5637.2316840223602</v>
      </c>
      <c r="S11" s="139"/>
      <c r="T11" s="63" t="str">
        <f>Receitas!A39</f>
        <v>Eventos</v>
      </c>
      <c r="U11" s="15" t="s">
        <v>17</v>
      </c>
      <c r="V11" s="298">
        <f>Receitas!C39</f>
        <v>1710.6801076346694</v>
      </c>
      <c r="W11" s="139"/>
      <c r="X11" s="1"/>
      <c r="Y11" s="142"/>
      <c r="Z11" s="142"/>
    </row>
    <row r="12" spans="1:26" ht="12.75" customHeight="1">
      <c r="B12" s="2" t="s">
        <v>50</v>
      </c>
      <c r="C12" s="487">
        <v>0.42704022332739999</v>
      </c>
      <c r="D12" s="1"/>
      <c r="E12" s="1"/>
      <c r="F12" s="2" t="s">
        <v>51</v>
      </c>
      <c r="G12" s="8">
        <f>-DRE!D10</f>
        <v>34531.785314370893</v>
      </c>
      <c r="H12" s="20" t="s">
        <v>16</v>
      </c>
      <c r="I12" s="1"/>
      <c r="J12" s="1"/>
      <c r="K12" s="100" t="str">
        <f>CAPEX!A16</f>
        <v>Estudos de Campo</v>
      </c>
      <c r="L12" s="15" t="s">
        <v>17</v>
      </c>
      <c r="M12" s="169">
        <f>CAPEX!D16</f>
        <v>37.1</v>
      </c>
      <c r="N12" s="169">
        <v>0</v>
      </c>
      <c r="O12" s="1"/>
      <c r="P12" s="100" t="s">
        <v>52</v>
      </c>
      <c r="Q12" s="15" t="s">
        <v>17</v>
      </c>
      <c r="R12" s="139">
        <f>OPEX!C16</f>
        <v>2825.1892565442008</v>
      </c>
      <c r="S12" s="139"/>
      <c r="T12" s="379" t="s">
        <v>53</v>
      </c>
      <c r="U12" s="380"/>
      <c r="V12" s="381">
        <f>Receitas!C40</f>
        <v>399211.39091758244</v>
      </c>
      <c r="W12" s="139"/>
      <c r="X12" s="1"/>
      <c r="Y12" s="142"/>
      <c r="Z12" s="142"/>
    </row>
    <row r="13" spans="1:26" ht="12.75" customHeight="1">
      <c r="B13" s="2" t="s">
        <v>54</v>
      </c>
      <c r="C13" s="487">
        <v>0.75</v>
      </c>
      <c r="D13" s="1"/>
      <c r="E13" s="1"/>
      <c r="F13" s="2" t="s">
        <v>55</v>
      </c>
      <c r="G13" s="8">
        <f>-(DRE!D46)</f>
        <v>42714.199331832984</v>
      </c>
      <c r="H13" s="20" t="s">
        <v>16</v>
      </c>
      <c r="I13" s="1"/>
      <c r="J13" s="1"/>
      <c r="K13" s="100" t="str">
        <f>CAPEX!A17</f>
        <v>BONIFICAÇÃO E DESPESAS INDIRETAS</v>
      </c>
      <c r="L13" s="15" t="s">
        <v>17</v>
      </c>
      <c r="M13" s="169">
        <f>CAPEX!D17</f>
        <v>9386.5704233418255</v>
      </c>
      <c r="N13" s="169">
        <v>0</v>
      </c>
      <c r="O13" s="1"/>
      <c r="P13" s="100" t="s">
        <v>56</v>
      </c>
      <c r="Q13" s="15" t="s">
        <v>17</v>
      </c>
      <c r="R13" s="139">
        <f>OPEX!C17</f>
        <v>1248.6428880126198</v>
      </c>
      <c r="S13" s="139"/>
      <c r="T13" s="14"/>
      <c r="U13" s="15"/>
      <c r="V13" s="140"/>
      <c r="W13" s="139"/>
      <c r="X13" s="1"/>
      <c r="Y13" s="142"/>
      <c r="Z13" s="142"/>
    </row>
    <row r="14" spans="1:26" ht="12.75" customHeight="1">
      <c r="B14" s="2" t="s">
        <v>57</v>
      </c>
      <c r="C14" s="22">
        <v>1</v>
      </c>
      <c r="D14" s="1"/>
      <c r="E14" s="23"/>
      <c r="F14" s="1"/>
      <c r="G14" s="1"/>
      <c r="H14" s="20" t="s">
        <v>16</v>
      </c>
      <c r="I14" s="1"/>
      <c r="J14" s="1"/>
      <c r="K14" s="379" t="str">
        <f>CAPEX!A18</f>
        <v>Total dos investimentos</v>
      </c>
      <c r="L14" s="380"/>
      <c r="M14" s="381">
        <f>CAPEX!D18</f>
        <v>37473.256310061821</v>
      </c>
      <c r="N14" s="381">
        <f>CAPEX!D29</f>
        <v>9209.1101920000001</v>
      </c>
      <c r="O14" s="1"/>
      <c r="P14" s="100" t="s">
        <v>58</v>
      </c>
      <c r="Q14" s="15" t="s">
        <v>17</v>
      </c>
      <c r="R14" s="139">
        <f>OPEX!C18</f>
        <v>1992.0659467583316</v>
      </c>
      <c r="S14" s="139"/>
      <c r="T14" s="14"/>
      <c r="U14" s="15"/>
      <c r="V14" s="140"/>
      <c r="W14" s="139"/>
      <c r="X14" s="195"/>
      <c r="Y14" s="139"/>
      <c r="Z14" s="1"/>
    </row>
    <row r="15" spans="1:26" ht="12.75" customHeight="1">
      <c r="B15" s="2" t="s">
        <v>59</v>
      </c>
      <c r="C15" s="24">
        <v>2.5100000000000001E-3</v>
      </c>
      <c r="D15" s="1"/>
      <c r="E15" s="23"/>
      <c r="F15" s="2" t="s">
        <v>60</v>
      </c>
      <c r="G15" s="21" t="str">
        <f>IF(ABS(Amt!AM18+Amt!AM20)&gt;0.001,"OK","Falha AMT")</f>
        <v>OK</v>
      </c>
      <c r="H15" s="1"/>
      <c r="I15" s="1"/>
      <c r="J15" s="1"/>
      <c r="K15" s="1"/>
      <c r="L15" s="1"/>
      <c r="M15" s="1"/>
      <c r="N15" s="1"/>
      <c r="O15" s="1"/>
      <c r="P15" s="100" t="s">
        <v>61</v>
      </c>
      <c r="Q15" s="15" t="s">
        <v>17</v>
      </c>
      <c r="R15" s="139">
        <f>OPEX!C19</f>
        <v>4718.0689651694029</v>
      </c>
      <c r="S15" s="139"/>
      <c r="T15" s="14"/>
      <c r="U15" s="15"/>
      <c r="V15" s="140"/>
      <c r="W15" s="139"/>
      <c r="X15" s="195"/>
      <c r="Y15" s="139"/>
      <c r="Z15" s="1"/>
    </row>
    <row r="16" spans="1:26" ht="12.75" customHeight="1">
      <c r="B16" s="207" t="s">
        <v>62</v>
      </c>
      <c r="C16" s="208"/>
      <c r="D16" s="208"/>
      <c r="E16" s="1"/>
      <c r="F16" s="385"/>
      <c r="G16" s="8"/>
      <c r="H16" s="1"/>
      <c r="I16" s="1"/>
      <c r="J16" s="1"/>
      <c r="K16" s="1"/>
      <c r="L16" s="1"/>
      <c r="M16" s="650">
        <f>M14*1000</f>
        <v>37473256.31006182</v>
      </c>
      <c r="N16" s="650">
        <f>N14*1000</f>
        <v>9209110.1919999998</v>
      </c>
      <c r="O16" s="1"/>
      <c r="P16" s="100" t="s">
        <v>63</v>
      </c>
      <c r="Q16" s="15" t="s">
        <v>17</v>
      </c>
      <c r="R16" s="139">
        <f>OPEX!C20</f>
        <v>44449.47077751426</v>
      </c>
      <c r="S16" s="139"/>
      <c r="T16" s="14"/>
      <c r="U16" s="15"/>
      <c r="V16" s="140"/>
      <c r="W16" s="139"/>
      <c r="X16" s="195"/>
      <c r="Y16" s="139"/>
      <c r="Z16" s="1"/>
    </row>
    <row r="17" spans="2:28" ht="12.75" customHeight="1">
      <c r="B17" s="2" t="s">
        <v>62</v>
      </c>
      <c r="C17" s="383">
        <f>M14*C18</f>
        <v>5555.7191074569046</v>
      </c>
      <c r="D17" s="1" t="s">
        <v>64</v>
      </c>
      <c r="E17" s="650">
        <f>C17*1000</f>
        <v>5555719.1074569048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00" t="s">
        <v>65</v>
      </c>
      <c r="Q17" s="15" t="s">
        <v>17</v>
      </c>
      <c r="R17" s="139">
        <f>OPEX!C21</f>
        <v>2500.9325700000013</v>
      </c>
      <c r="S17" s="139"/>
      <c r="T17" s="14"/>
      <c r="U17" s="15"/>
      <c r="V17" s="140"/>
      <c r="W17" s="139"/>
      <c r="X17" s="195"/>
      <c r="Y17" s="139"/>
      <c r="Z17" s="1"/>
      <c r="AA17" s="108"/>
    </row>
    <row r="18" spans="2:28" ht="12.75" customHeight="1">
      <c r="B18" s="2" t="s">
        <v>66</v>
      </c>
      <c r="C18" s="484">
        <f>C38</f>
        <v>0.148258242131073</v>
      </c>
      <c r="D18" s="1" t="s">
        <v>67</v>
      </c>
      <c r="E18" s="1"/>
      <c r="F18" s="2" t="s">
        <v>68</v>
      </c>
      <c r="G18" s="24">
        <v>0</v>
      </c>
      <c r="H18" s="1"/>
      <c r="I18" s="1"/>
      <c r="J18" s="1"/>
      <c r="K18" s="1"/>
      <c r="L18" s="1"/>
      <c r="M18" s="1"/>
      <c r="N18" s="1"/>
      <c r="O18" s="1"/>
      <c r="P18" s="100" t="s">
        <v>69</v>
      </c>
      <c r="Q18" s="15" t="s">
        <v>17</v>
      </c>
      <c r="R18" s="139">
        <f>OPEX!C22</f>
        <v>29280.523091751344</v>
      </c>
      <c r="S18" s="139"/>
      <c r="T18" s="14"/>
      <c r="U18" s="15"/>
      <c r="V18" s="140"/>
      <c r="W18" s="139"/>
      <c r="X18" s="195"/>
      <c r="Y18" s="139"/>
      <c r="Z18" s="1"/>
      <c r="AA18" s="108"/>
    </row>
    <row r="19" spans="2:28" ht="12.75" customHeight="1">
      <c r="B19" s="2" t="s">
        <v>70</v>
      </c>
      <c r="C19">
        <v>2</v>
      </c>
      <c r="D19" s="1"/>
      <c r="E19" s="1"/>
      <c r="F19" s="2" t="s">
        <v>71</v>
      </c>
      <c r="G19" s="24">
        <v>0.04</v>
      </c>
      <c r="H19" s="1" t="s">
        <v>72</v>
      </c>
      <c r="I19" s="1"/>
      <c r="J19" s="1"/>
      <c r="K19" s="1"/>
      <c r="L19" s="1"/>
      <c r="M19" s="1"/>
      <c r="N19" s="1"/>
      <c r="O19" s="1"/>
      <c r="P19" s="100" t="s">
        <v>73</v>
      </c>
      <c r="Q19" s="15" t="s">
        <v>17</v>
      </c>
      <c r="R19" s="139">
        <f>OPEX!C23</f>
        <v>13790.351515120812</v>
      </c>
      <c r="S19" s="139"/>
      <c r="T19" s="14"/>
      <c r="U19" s="15"/>
      <c r="V19" s="140"/>
      <c r="W19" s="139"/>
      <c r="X19" s="195"/>
      <c r="Y19" s="139"/>
      <c r="Z19" s="1"/>
      <c r="AA19" s="108"/>
    </row>
    <row r="20" spans="2:28" ht="12.75" customHeight="1">
      <c r="B20" s="2" t="s">
        <v>74</v>
      </c>
      <c r="C20" s="484">
        <v>0.5</v>
      </c>
      <c r="D20" s="1"/>
      <c r="E20" s="1"/>
      <c r="F20" s="2" t="s">
        <v>75</v>
      </c>
      <c r="G20" s="24">
        <v>0</v>
      </c>
      <c r="H20" s="1" t="s">
        <v>76</v>
      </c>
      <c r="I20" s="1"/>
      <c r="J20" s="1"/>
      <c r="K20" s="1"/>
      <c r="L20" s="1"/>
      <c r="M20" s="1"/>
      <c r="N20" s="1"/>
      <c r="O20" s="1"/>
      <c r="P20" s="100" t="s">
        <v>77</v>
      </c>
      <c r="Q20" s="15" t="s">
        <v>17</v>
      </c>
      <c r="R20" s="139">
        <f>OPEX!C24</f>
        <v>9317.9841592326775</v>
      </c>
      <c r="S20" s="139"/>
      <c r="T20" s="14"/>
      <c r="U20" s="15"/>
      <c r="V20" s="140"/>
      <c r="W20" s="139"/>
      <c r="X20" s="195"/>
      <c r="Y20" s="139"/>
      <c r="Z20" s="1"/>
      <c r="AA20" s="108"/>
    </row>
    <row r="21" spans="2:28" ht="12.75" customHeight="1">
      <c r="B21" s="2" t="s">
        <v>78</v>
      </c>
      <c r="C21" s="484">
        <f>100%-C20</f>
        <v>0.5</v>
      </c>
      <c r="D21" s="1"/>
      <c r="E21" s="1"/>
      <c r="F21" s="2" t="s">
        <v>79</v>
      </c>
      <c r="G21" s="383">
        <v>350000</v>
      </c>
      <c r="H21" s="1" t="s">
        <v>80</v>
      </c>
      <c r="I21" s="1"/>
      <c r="J21" s="1"/>
      <c r="K21" s="1"/>
      <c r="L21" s="1"/>
      <c r="M21" s="1"/>
      <c r="N21" s="1"/>
      <c r="O21" s="1"/>
      <c r="P21" s="100" t="s">
        <v>81</v>
      </c>
      <c r="Q21" s="15" t="s">
        <v>17</v>
      </c>
      <c r="R21" s="139">
        <f>OPEX!C25</f>
        <v>7658.26619547274</v>
      </c>
      <c r="S21" s="139"/>
      <c r="T21" s="14"/>
      <c r="U21" s="15"/>
      <c r="V21" s="140"/>
      <c r="W21" s="139"/>
      <c r="X21" s="195"/>
      <c r="Y21" s="139"/>
      <c r="Z21" s="1"/>
      <c r="AA21" s="108"/>
    </row>
    <row r="22" spans="2:28" ht="12.75" customHeight="1">
      <c r="B22" s="207" t="s">
        <v>82</v>
      </c>
      <c r="C22" s="208"/>
      <c r="D22" s="208"/>
      <c r="E22" s="1"/>
      <c r="F22" s="2" t="s">
        <v>83</v>
      </c>
      <c r="G22" s="383">
        <v>1995</v>
      </c>
      <c r="H22" s="1" t="s">
        <v>16</v>
      </c>
      <c r="I22" s="1"/>
      <c r="J22" s="1"/>
      <c r="K22" s="1"/>
      <c r="L22" s="1"/>
      <c r="M22" s="1"/>
      <c r="N22" s="1"/>
      <c r="O22" s="1"/>
      <c r="P22" s="100" t="s">
        <v>84</v>
      </c>
      <c r="Q22" s="15" t="s">
        <v>17</v>
      </c>
      <c r="R22" s="139">
        <f>OPEX!C26</f>
        <v>29873.732001906694</v>
      </c>
      <c r="S22" s="139"/>
      <c r="T22" s="139"/>
      <c r="U22" s="14"/>
      <c r="V22" s="15"/>
      <c r="W22" s="139"/>
      <c r="X22" s="195"/>
      <c r="Y22" s="139"/>
      <c r="Z22" s="1"/>
      <c r="AA22" s="108"/>
    </row>
    <row r="23" spans="2:28" ht="12.75" customHeight="1">
      <c r="B23" s="2" t="s">
        <v>85</v>
      </c>
      <c r="C23" s="24">
        <f>IF($C$8="Lucro Real",1.65%,0.65%)</f>
        <v>6.5000000000000006E-3</v>
      </c>
      <c r="D23" s="1"/>
      <c r="E23" s="1"/>
      <c r="F23" s="2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70"/>
      <c r="U23" s="14"/>
      <c r="V23" s="15"/>
      <c r="W23" s="140"/>
      <c r="X23" s="139"/>
      <c r="Y23" s="195"/>
      <c r="Z23" s="139"/>
      <c r="AA23" s="108"/>
      <c r="AB23" s="108"/>
    </row>
    <row r="24" spans="2:28" ht="12.75" customHeight="1">
      <c r="B24" s="2" t="s">
        <v>86</v>
      </c>
      <c r="C24" s="24">
        <f>IF($C$8="Lucro Real",7.6%,3%)</f>
        <v>0.03</v>
      </c>
      <c r="D24" s="1"/>
      <c r="E24" s="1"/>
      <c r="F24" s="1"/>
      <c r="G24" s="650">
        <f>G22*1000</f>
        <v>1995000</v>
      </c>
      <c r="H24" s="1"/>
      <c r="I24" s="1"/>
      <c r="J24" s="1"/>
      <c r="K24" s="1"/>
      <c r="L24" s="1"/>
      <c r="M24" s="1"/>
      <c r="N24" s="1"/>
      <c r="O24" s="1"/>
      <c r="P24" s="382" t="s">
        <v>87</v>
      </c>
      <c r="Q24" s="382"/>
      <c r="R24" s="382">
        <f>OPEX!C28</f>
        <v>181865.01781311532</v>
      </c>
      <c r="S24" s="170"/>
      <c r="T24" s="139"/>
      <c r="U24" s="14"/>
      <c r="V24" s="15"/>
      <c r="W24" s="140"/>
      <c r="X24" s="139"/>
      <c r="Y24" s="195"/>
      <c r="Z24" s="139"/>
      <c r="AA24" s="108"/>
      <c r="AB24" s="108"/>
    </row>
    <row r="25" spans="2:28" ht="12.75" customHeight="1">
      <c r="B25" s="2" t="s">
        <v>88</v>
      </c>
      <c r="C25" s="24">
        <v>0.05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39"/>
      <c r="U25" s="14"/>
      <c r="V25" s="15"/>
      <c r="W25" s="140"/>
      <c r="X25" s="139"/>
      <c r="Y25" s="195"/>
      <c r="Z25" s="139"/>
      <c r="AA25" s="108"/>
      <c r="AB25" s="108"/>
    </row>
    <row r="26" spans="2:28" ht="12.75" customHeight="1">
      <c r="B26" s="2"/>
      <c r="C26" s="22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39"/>
      <c r="U26" s="14"/>
      <c r="V26" s="15"/>
      <c r="W26" s="140"/>
      <c r="X26" s="139"/>
      <c r="Y26" s="195"/>
      <c r="Z26" s="139"/>
      <c r="AA26" s="108">
        <v>0</v>
      </c>
      <c r="AB26" s="108">
        <v>0</v>
      </c>
    </row>
    <row r="27" spans="2:28" ht="12.75" customHeight="1">
      <c r="B27" s="207" t="s">
        <v>89</v>
      </c>
      <c r="C27" s="208"/>
      <c r="D27" s="208"/>
      <c r="E27" s="2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39"/>
      <c r="U27" s="14"/>
      <c r="V27" s="15"/>
      <c r="W27" s="140"/>
      <c r="X27" s="139"/>
      <c r="Y27" s="195"/>
      <c r="Z27" s="139"/>
      <c r="AA27" s="616"/>
      <c r="AB27" s="616"/>
    </row>
    <row r="28" spans="2:28" ht="12.75" customHeight="1">
      <c r="B28" s="2" t="s">
        <v>90</v>
      </c>
      <c r="C28" s="24">
        <v>0.15</v>
      </c>
      <c r="D28" s="1" t="s">
        <v>91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39"/>
      <c r="U28" s="14"/>
      <c r="V28" s="15"/>
      <c r="W28" s="140"/>
      <c r="X28" s="139"/>
      <c r="Y28" s="195"/>
      <c r="Z28" s="139"/>
    </row>
    <row r="29" spans="2:28" ht="12.75" customHeight="1">
      <c r="B29" s="2" t="s">
        <v>92</v>
      </c>
      <c r="C29" s="25">
        <v>240</v>
      </c>
      <c r="D29" s="1" t="s">
        <v>16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39"/>
      <c r="U29" s="14"/>
      <c r="V29" s="15"/>
      <c r="W29" s="140"/>
      <c r="X29" s="139"/>
      <c r="Y29" s="195"/>
      <c r="Z29" s="139"/>
    </row>
    <row r="30" spans="2:28" ht="12.75" customHeight="1">
      <c r="B30" s="2" t="s">
        <v>93</v>
      </c>
      <c r="C30" s="24">
        <v>0.1</v>
      </c>
      <c r="D30" s="1" t="s">
        <v>91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39"/>
      <c r="U30" s="14"/>
      <c r="V30" s="15"/>
      <c r="W30" s="140"/>
      <c r="X30" s="139"/>
      <c r="Y30" s="195"/>
      <c r="Z30" s="139"/>
    </row>
    <row r="31" spans="2:28" ht="12.75" customHeight="1">
      <c r="B31" s="2" t="s">
        <v>94</v>
      </c>
      <c r="C31" s="24">
        <v>0.09</v>
      </c>
      <c r="D31" s="1" t="s">
        <v>91</v>
      </c>
      <c r="E31" s="1"/>
      <c r="F31" s="2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39"/>
      <c r="U31" s="14"/>
      <c r="V31" s="15"/>
      <c r="W31" s="140"/>
      <c r="X31" s="139"/>
      <c r="Y31" s="195"/>
      <c r="Z31" s="139"/>
    </row>
    <row r="32" spans="2:28" ht="12.75" customHeight="1">
      <c r="B32" s="2" t="s">
        <v>95</v>
      </c>
      <c r="C32" s="24">
        <v>0.3</v>
      </c>
      <c r="D32" s="1"/>
      <c r="E32" s="1"/>
      <c r="F32" s="2"/>
      <c r="G32" s="26"/>
      <c r="H32" s="1"/>
      <c r="I32" s="1"/>
      <c r="J32" s="1"/>
      <c r="K32" s="1"/>
      <c r="L32" s="1"/>
      <c r="M32" s="1"/>
      <c r="N32" s="1"/>
      <c r="O32" s="216"/>
      <c r="P32" s="1"/>
      <c r="Q32" s="1"/>
      <c r="R32" s="1"/>
      <c r="S32" s="1"/>
      <c r="W32" s="140"/>
      <c r="X32" s="139"/>
      <c r="Y32" s="195"/>
      <c r="Z32" s="139"/>
    </row>
    <row r="35" spans="2:6" ht="12.75" customHeight="1">
      <c r="B35" s="209" t="s">
        <v>96</v>
      </c>
      <c r="C35" s="209"/>
      <c r="D35" s="209"/>
      <c r="E35" s="209"/>
    </row>
    <row r="36" spans="2:6" ht="12.75" customHeight="1">
      <c r="B36" s="1"/>
      <c r="C36" s="10" t="s">
        <v>97</v>
      </c>
      <c r="D36" s="10" t="s">
        <v>98</v>
      </c>
      <c r="E36" s="3" t="s">
        <v>99</v>
      </c>
    </row>
    <row r="37" spans="2:6" ht="12.75" customHeight="1">
      <c r="B37" s="10" t="s">
        <v>100</v>
      </c>
      <c r="C37" s="485">
        <f>25.1295950952719%</f>
        <v>0.251295950952719</v>
      </c>
      <c r="D37" s="486">
        <v>9416.8775797319522</v>
      </c>
      <c r="E37" s="486">
        <v>389422</v>
      </c>
      <c r="F37" s="20" t="s">
        <v>64</v>
      </c>
    </row>
    <row r="38" spans="2:6" ht="12.75" customHeight="1">
      <c r="B38" s="10" t="s">
        <v>101</v>
      </c>
      <c r="C38" s="485">
        <f>14.8258242131073%</f>
        <v>0.148258242131073</v>
      </c>
      <c r="D38" s="486">
        <v>5555.7191074569</v>
      </c>
      <c r="E38" s="486">
        <v>389422</v>
      </c>
      <c r="F38" s="20" t="s">
        <v>64</v>
      </c>
    </row>
    <row r="39" spans="2:6" ht="12.75" customHeight="1">
      <c r="B39" s="10" t="s">
        <v>102</v>
      </c>
      <c r="C39" s="485">
        <v>0.15565574646952199</v>
      </c>
      <c r="D39" s="486">
        <v>5832.927683586382</v>
      </c>
      <c r="E39" s="486">
        <v>428364.02346152259</v>
      </c>
      <c r="F39" s="20" t="s">
        <v>64</v>
      </c>
    </row>
    <row r="40" spans="2:6" ht="12.75" customHeight="1">
      <c r="B40" s="10" t="s">
        <v>103</v>
      </c>
      <c r="C40" s="485">
        <f>1.22977371271589%</f>
        <v>1.2297737127158901E-2</v>
      </c>
      <c r="D40" s="486">
        <f>460.84</f>
        <v>460.84</v>
      </c>
      <c r="E40" s="486">
        <v>428364.02346152259</v>
      </c>
      <c r="F40" s="20" t="s">
        <v>64</v>
      </c>
    </row>
    <row r="41" spans="2:6" ht="12.75" customHeight="1">
      <c r="B41" s="10" t="s">
        <v>104</v>
      </c>
      <c r="C41" s="485">
        <v>0.40779810374340503</v>
      </c>
      <c r="D41" s="486">
        <v>15281.52286433379</v>
      </c>
      <c r="E41" s="486">
        <v>354374</v>
      </c>
      <c r="F41" s="20" t="s">
        <v>64</v>
      </c>
    </row>
    <row r="42" spans="2:6" ht="12.75" customHeight="1">
      <c r="B42" s="10" t="s">
        <v>105</v>
      </c>
      <c r="C42" s="485">
        <v>0.37073906850111499</v>
      </c>
      <c r="D42" s="486">
        <v>13892.800138095847</v>
      </c>
      <c r="E42" s="486">
        <v>354374</v>
      </c>
      <c r="F42" s="20" t="s">
        <v>64</v>
      </c>
    </row>
  </sheetData>
  <sheetProtection password="C643" sheet="1" objects="1" scenarios="1"/>
  <phoneticPr fontId="48" type="noConversion"/>
  <conditionalFormatting sqref="G15">
    <cfRule type="cellIs" dxfId="2" priority="1" stopIfTrue="1" operator="equal">
      <formula>"OK"</formula>
    </cfRule>
    <cfRule type="cellIs" dxfId="1" priority="2" stopIfTrue="1" operator="notEqual">
      <formula>"OK"</formula>
    </cfRule>
  </conditionalFormatting>
  <dataValidations count="3">
    <dataValidation type="list" allowBlank="1" showErrorMessage="1" sqref="Q4:Q22 U13:U21 L4:L13 U33:U34 V22:V32 U4:U11" xr:uid="{00000000-0002-0000-0000-000000000000}">
      <formula1>"Sim,Não"</formula1>
    </dataValidation>
    <dataValidation type="list" allowBlank="1" showErrorMessage="1" sqref="C8" xr:uid="{00000000-0002-0000-0000-000001000000}">
      <formula1>"Lucro Real,Lucro Presumido"</formula1>
    </dataValidation>
    <dataValidation type="list" showInputMessage="1" showErrorMessage="1" sqref="C9:C10" xr:uid="{00000000-0002-0000-0000-000002000000}">
      <formula1>"Base, Otimista, Pessimista, -"</formula1>
    </dataValidation>
  </dataValidations>
  <pageMargins left="0.511811024" right="0.511811024" top="0.78740157499999996" bottom="0.78740157499999996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57"/>
  <sheetViews>
    <sheetView workbookViewId="0">
      <selection activeCell="G68" sqref="G68"/>
    </sheetView>
  </sheetViews>
  <sheetFormatPr defaultColWidth="8.85546875" defaultRowHeight="12.75"/>
  <cols>
    <col min="1" max="1" width="10.140625" style="304" bestFit="1" customWidth="1"/>
    <col min="2" max="2" width="6.5703125" style="304" bestFit="1" customWidth="1"/>
    <col min="3" max="3" width="7" style="304" bestFit="1" customWidth="1"/>
    <col min="4" max="4" width="53.140625" style="304" bestFit="1" customWidth="1"/>
    <col min="5" max="5" width="10" style="305" bestFit="1" customWidth="1"/>
    <col min="6" max="6" width="14" style="398" bestFit="1" customWidth="1"/>
    <col min="7" max="7" width="11.28515625" style="398" bestFit="1" customWidth="1"/>
    <col min="8" max="8" width="14" style="304" bestFit="1" customWidth="1"/>
    <col min="9" max="10" width="11.28515625" style="304" bestFit="1" customWidth="1"/>
    <col min="11" max="11" width="10.28515625" style="304" bestFit="1" customWidth="1"/>
    <col min="12" max="13" width="14" style="304" bestFit="1" customWidth="1"/>
    <col min="14" max="16384" width="8.85546875" style="304"/>
  </cols>
  <sheetData>
    <row r="1" spans="1:8" s="329" customFormat="1" ht="26.25" thickBot="1">
      <c r="A1" s="386" t="s">
        <v>251</v>
      </c>
      <c r="B1" s="387"/>
      <c r="C1" s="387" t="s">
        <v>252</v>
      </c>
      <c r="D1" s="387" t="s">
        <v>253</v>
      </c>
      <c r="E1" s="387" t="s">
        <v>254</v>
      </c>
      <c r="F1" s="388" t="s">
        <v>255</v>
      </c>
      <c r="G1" s="389" t="s">
        <v>256</v>
      </c>
      <c r="H1" s="390" t="s">
        <v>257</v>
      </c>
    </row>
    <row r="2" spans="1:8" ht="13.5" thickBot="1">
      <c r="A2" s="391"/>
      <c r="B2" s="392"/>
      <c r="C2" s="393"/>
      <c r="D2" s="394" t="s">
        <v>258</v>
      </c>
      <c r="E2" s="392"/>
      <c r="F2" s="395"/>
      <c r="G2" s="395"/>
      <c r="H2" s="396">
        <f>SUM(H3)</f>
        <v>3439080</v>
      </c>
    </row>
    <row r="3" spans="1:8">
      <c r="A3" s="397"/>
      <c r="D3" s="304" t="s">
        <v>259</v>
      </c>
      <c r="E3" s="304" t="s">
        <v>260</v>
      </c>
      <c r="F3" s="398">
        <v>60</v>
      </c>
      <c r="G3" s="399">
        <v>57318</v>
      </c>
      <c r="H3" s="400">
        <f>G3*F3</f>
        <v>3439080</v>
      </c>
    </row>
    <row r="4" spans="1:8" ht="13.5" thickBot="1">
      <c r="A4" s="397"/>
      <c r="H4" s="401"/>
    </row>
    <row r="5" spans="1:8" ht="13.5" thickBot="1">
      <c r="A5" s="391"/>
      <c r="B5" s="392"/>
      <c r="C5" s="393"/>
      <c r="D5" s="394" t="s">
        <v>261</v>
      </c>
      <c r="E5" s="392"/>
      <c r="F5" s="395"/>
      <c r="G5" s="395"/>
      <c r="H5" s="396">
        <f>SUM(H6:H12)</f>
        <v>3371665.8207199997</v>
      </c>
    </row>
    <row r="6" spans="1:8" s="331" customFormat="1" ht="38.25">
      <c r="A6" s="402" t="s">
        <v>262</v>
      </c>
      <c r="B6" s="329" t="s">
        <v>263</v>
      </c>
      <c r="C6" s="403">
        <v>88495</v>
      </c>
      <c r="D6" s="404" t="s">
        <v>264</v>
      </c>
      <c r="E6" s="329" t="s">
        <v>265</v>
      </c>
      <c r="F6" s="399">
        <v>21652.48</v>
      </c>
      <c r="G6" s="405">
        <v>9.5599999999999987</v>
      </c>
      <c r="H6" s="406">
        <f>G6*F6</f>
        <v>206997.70879999996</v>
      </c>
    </row>
    <row r="7" spans="1:8" ht="25.5">
      <c r="A7" s="402" t="s">
        <v>262</v>
      </c>
      <c r="B7" s="329" t="s">
        <v>263</v>
      </c>
      <c r="C7" s="403">
        <v>88489</v>
      </c>
      <c r="D7" s="404" t="s">
        <v>266</v>
      </c>
      <c r="E7" s="329" t="s">
        <v>265</v>
      </c>
      <c r="F7" s="399">
        <v>21652.48</v>
      </c>
      <c r="G7" s="405">
        <v>11.2</v>
      </c>
      <c r="H7" s="406">
        <f>G7*F7</f>
        <v>242507.77599999998</v>
      </c>
    </row>
    <row r="8" spans="1:8" ht="38.25">
      <c r="A8" s="402" t="s">
        <v>262</v>
      </c>
      <c r="B8" s="329" t="s">
        <v>263</v>
      </c>
      <c r="C8" s="403">
        <v>97623</v>
      </c>
      <c r="D8" s="404" t="s">
        <v>267</v>
      </c>
      <c r="E8" s="329" t="s">
        <v>268</v>
      </c>
      <c r="F8" s="399">
        <v>812</v>
      </c>
      <c r="G8" s="405">
        <v>150.59</v>
      </c>
      <c r="H8" s="406">
        <f t="shared" ref="H8:H12" si="0">G8*F8</f>
        <v>122279.08</v>
      </c>
    </row>
    <row r="9" spans="1:8" ht="38.25">
      <c r="A9" s="402" t="s">
        <v>262</v>
      </c>
      <c r="B9" s="329" t="s">
        <v>263</v>
      </c>
      <c r="C9" s="403">
        <v>104790</v>
      </c>
      <c r="D9" s="404" t="s">
        <v>269</v>
      </c>
      <c r="E9" s="329" t="str">
        <f>E8</f>
        <v>m3</v>
      </c>
      <c r="F9" s="399">
        <f>(21652.48/3)*0.15</f>
        <v>1082.6239999999998</v>
      </c>
      <c r="G9" s="405">
        <v>107.88</v>
      </c>
      <c r="H9" s="406">
        <f t="shared" si="0"/>
        <v>116793.47711999997</v>
      </c>
    </row>
    <row r="10" spans="1:8" ht="38.25">
      <c r="A10" s="402" t="s">
        <v>262</v>
      </c>
      <c r="B10" s="329" t="s">
        <v>263</v>
      </c>
      <c r="C10" s="403">
        <v>94198</v>
      </c>
      <c r="D10" s="404" t="s">
        <v>270</v>
      </c>
      <c r="E10" s="329" t="s">
        <v>265</v>
      </c>
      <c r="F10" s="399">
        <f>2068.32+418.58+401.84+1096.03</f>
        <v>3984.7700000000004</v>
      </c>
      <c r="G10" s="405">
        <v>24.44</v>
      </c>
      <c r="H10" s="406">
        <f t="shared" si="0"/>
        <v>97387.778800000015</v>
      </c>
    </row>
    <row r="11" spans="1:8">
      <c r="A11" s="402" t="s">
        <v>271</v>
      </c>
      <c r="B11" s="329"/>
      <c r="C11" s="403"/>
      <c r="D11" s="304" t="s">
        <v>272</v>
      </c>
      <c r="E11" s="329" t="s">
        <v>265</v>
      </c>
      <c r="F11" s="399">
        <v>8660</v>
      </c>
      <c r="G11" s="405">
        <v>120</v>
      </c>
      <c r="H11" s="406">
        <f t="shared" si="0"/>
        <v>1039200</v>
      </c>
    </row>
    <row r="12" spans="1:8" ht="13.5" thickBot="1">
      <c r="A12" s="402" t="s">
        <v>271</v>
      </c>
      <c r="D12" s="304" t="s">
        <v>273</v>
      </c>
      <c r="E12" s="329" t="s">
        <v>265</v>
      </c>
      <c r="F12" s="399">
        <v>6186</v>
      </c>
      <c r="G12" s="405">
        <v>250</v>
      </c>
      <c r="H12" s="406">
        <f t="shared" si="0"/>
        <v>1546500</v>
      </c>
    </row>
    <row r="13" spans="1:8" ht="13.5" thickBot="1">
      <c r="A13" s="391"/>
      <c r="B13" s="392"/>
      <c r="C13" s="393"/>
      <c r="D13" s="394" t="s">
        <v>56</v>
      </c>
      <c r="E13" s="392"/>
      <c r="F13" s="395"/>
      <c r="G13" s="395"/>
      <c r="H13" s="396">
        <f>SUM(H14:H17)</f>
        <v>2390186.4000000004</v>
      </c>
    </row>
    <row r="14" spans="1:8" ht="63.75">
      <c r="A14" s="402" t="s">
        <v>262</v>
      </c>
      <c r="B14" s="329" t="s">
        <v>263</v>
      </c>
      <c r="C14" s="331">
        <v>101134</v>
      </c>
      <c r="D14" s="404" t="s">
        <v>274</v>
      </c>
      <c r="E14" s="329" t="s">
        <v>268</v>
      </c>
      <c r="F14" s="407">
        <f>56000*0.25</f>
        <v>14000</v>
      </c>
      <c r="G14" s="407">
        <v>15.09</v>
      </c>
      <c r="H14" s="406">
        <f>G14*F14</f>
        <v>211260</v>
      </c>
    </row>
    <row r="15" spans="1:8" ht="51">
      <c r="A15" s="402" t="s">
        <v>262</v>
      </c>
      <c r="B15" s="329" t="s">
        <v>263</v>
      </c>
      <c r="C15" s="403">
        <v>96396</v>
      </c>
      <c r="D15" s="404" t="s">
        <v>275</v>
      </c>
      <c r="E15" s="329" t="s">
        <v>268</v>
      </c>
      <c r="F15" s="399">
        <f>56000*0.06</f>
        <v>3360</v>
      </c>
      <c r="G15" s="405">
        <v>398.49</v>
      </c>
      <c r="H15" s="406">
        <f>G15*F15</f>
        <v>1338926.4000000001</v>
      </c>
    </row>
    <row r="16" spans="1:8">
      <c r="A16" s="402" t="s">
        <v>271</v>
      </c>
      <c r="B16" s="329"/>
      <c r="C16" s="403"/>
      <c r="D16" s="404" t="s">
        <v>276</v>
      </c>
      <c r="E16" s="329" t="s">
        <v>277</v>
      </c>
      <c r="F16" s="408">
        <v>4</v>
      </c>
      <c r="G16" s="407">
        <v>35000</v>
      </c>
      <c r="H16" s="406">
        <f>G16*F16</f>
        <v>140000</v>
      </c>
    </row>
    <row r="17" spans="1:8" ht="13.5" thickBot="1">
      <c r="A17" s="402" t="s">
        <v>271</v>
      </c>
      <c r="D17" s="304" t="s">
        <v>273</v>
      </c>
      <c r="E17" s="329" t="s">
        <v>265</v>
      </c>
      <c r="F17" s="399">
        <f>5600/2</f>
        <v>2800</v>
      </c>
      <c r="G17" s="405">
        <v>250</v>
      </c>
      <c r="H17" s="406">
        <f t="shared" ref="H17" si="1">G17*F17</f>
        <v>700000</v>
      </c>
    </row>
    <row r="18" spans="1:8" ht="13.5" thickBot="1">
      <c r="A18" s="391"/>
      <c r="B18" s="392"/>
      <c r="C18" s="393"/>
      <c r="D18" s="394" t="s">
        <v>278</v>
      </c>
      <c r="E18" s="392"/>
      <c r="F18" s="395"/>
      <c r="G18" s="395"/>
      <c r="H18" s="396">
        <f>SUM(H19:H25)</f>
        <v>3312188.3</v>
      </c>
    </row>
    <row r="19" spans="1:8" ht="63.75">
      <c r="A19" s="402" t="s">
        <v>262</v>
      </c>
      <c r="B19" s="329" t="s">
        <v>263</v>
      </c>
      <c r="C19" s="331">
        <v>101134</v>
      </c>
      <c r="D19" s="404" t="s">
        <v>274</v>
      </c>
      <c r="E19" s="329" t="s">
        <v>268</v>
      </c>
      <c r="F19" s="407">
        <f>10700*0.25</f>
        <v>2675</v>
      </c>
      <c r="G19" s="407">
        <f>G14</f>
        <v>15.09</v>
      </c>
      <c r="H19" s="406">
        <f>G19*F19</f>
        <v>40365.75</v>
      </c>
    </row>
    <row r="20" spans="1:8" ht="51">
      <c r="A20" s="402" t="s">
        <v>262</v>
      </c>
      <c r="B20" s="329" t="s">
        <v>263</v>
      </c>
      <c r="C20" s="403">
        <v>96396</v>
      </c>
      <c r="D20" s="404" t="s">
        <v>275</v>
      </c>
      <c r="E20" s="329" t="s">
        <v>268</v>
      </c>
      <c r="F20" s="399">
        <f>3000*0.1</f>
        <v>300</v>
      </c>
      <c r="G20" s="405">
        <f>G15</f>
        <v>398.49</v>
      </c>
      <c r="H20" s="406">
        <f>G20*F20</f>
        <v>119547</v>
      </c>
    </row>
    <row r="21" spans="1:8" ht="51">
      <c r="A21" s="402" t="s">
        <v>262</v>
      </c>
      <c r="B21" s="329" t="s">
        <v>263</v>
      </c>
      <c r="C21" s="331">
        <v>104488</v>
      </c>
      <c r="D21" s="404" t="s">
        <v>279</v>
      </c>
      <c r="E21" s="329" t="s">
        <v>268</v>
      </c>
      <c r="F21" s="405">
        <f>700*0.55</f>
        <v>385.00000000000006</v>
      </c>
      <c r="G21" s="407">
        <v>2486.4299999999998</v>
      </c>
      <c r="H21" s="406">
        <f>G21*F21</f>
        <v>957275.55</v>
      </c>
    </row>
    <row r="22" spans="1:8">
      <c r="A22" s="402" t="s">
        <v>271</v>
      </c>
      <c r="B22" s="329"/>
      <c r="C22" s="403"/>
      <c r="D22" s="304" t="s">
        <v>272</v>
      </c>
      <c r="E22" s="329" t="s">
        <v>265</v>
      </c>
      <c r="F22" s="399">
        <v>3000</v>
      </c>
      <c r="G22" s="405">
        <v>120</v>
      </c>
      <c r="H22" s="406">
        <f t="shared" ref="H22:H23" si="2">G22*F22</f>
        <v>360000</v>
      </c>
    </row>
    <row r="23" spans="1:8">
      <c r="A23" s="402" t="s">
        <v>271</v>
      </c>
      <c r="D23" s="304" t="s">
        <v>273</v>
      </c>
      <c r="E23" s="329" t="s">
        <v>265</v>
      </c>
      <c r="F23" s="399">
        <v>3700</v>
      </c>
      <c r="G23" s="405">
        <v>250</v>
      </c>
      <c r="H23" s="406">
        <f t="shared" si="2"/>
        <v>925000</v>
      </c>
    </row>
    <row r="24" spans="1:8">
      <c r="A24" s="402" t="s">
        <v>271</v>
      </c>
      <c r="D24" s="304" t="s">
        <v>280</v>
      </c>
      <c r="E24" s="305" t="s">
        <v>265</v>
      </c>
      <c r="F24" s="407">
        <v>3000</v>
      </c>
      <c r="G24" s="407">
        <v>280</v>
      </c>
      <c r="H24" s="406">
        <f>G24*F24</f>
        <v>840000</v>
      </c>
    </row>
    <row r="25" spans="1:8">
      <c r="A25" s="402" t="s">
        <v>271</v>
      </c>
      <c r="B25" s="329"/>
      <c r="C25" s="403"/>
      <c r="D25" s="404" t="s">
        <v>276</v>
      </c>
      <c r="E25" s="329" t="s">
        <v>277</v>
      </c>
      <c r="F25" s="408">
        <v>2</v>
      </c>
      <c r="G25" s="407">
        <v>35000</v>
      </c>
      <c r="H25" s="406">
        <f>G25*F25</f>
        <v>70000</v>
      </c>
    </row>
    <row r="26" spans="1:8" ht="13.5" thickBot="1">
      <c r="A26" s="397"/>
      <c r="H26" s="401"/>
    </row>
    <row r="27" spans="1:8" ht="13.5" thickBot="1">
      <c r="A27" s="391"/>
      <c r="B27" s="392"/>
      <c r="C27" s="393"/>
      <c r="D27" s="394" t="s">
        <v>281</v>
      </c>
      <c r="E27" s="392"/>
      <c r="F27" s="395"/>
      <c r="G27" s="395"/>
      <c r="H27" s="396">
        <f>SUM(H28:H35)</f>
        <v>901095.1</v>
      </c>
    </row>
    <row r="28" spans="1:8" ht="63.75">
      <c r="A28" s="409" t="s">
        <v>262</v>
      </c>
      <c r="B28" s="410" t="s">
        <v>263</v>
      </c>
      <c r="C28" s="411">
        <v>101134</v>
      </c>
      <c r="D28" s="412" t="s">
        <v>274</v>
      </c>
      <c r="E28" s="410" t="s">
        <v>268</v>
      </c>
      <c r="F28" s="413">
        <f>2000*0.65</f>
        <v>1300</v>
      </c>
      <c r="G28" s="413">
        <f>G19</f>
        <v>15.09</v>
      </c>
      <c r="H28" s="414">
        <f>G28*F28</f>
        <v>19617</v>
      </c>
    </row>
    <row r="29" spans="1:8" ht="51">
      <c r="A29" s="402" t="s">
        <v>262</v>
      </c>
      <c r="B29" s="329" t="s">
        <v>263</v>
      </c>
      <c r="C29" s="403">
        <v>96396</v>
      </c>
      <c r="D29" s="404" t="s">
        <v>275</v>
      </c>
      <c r="E29" s="329" t="s">
        <v>268</v>
      </c>
      <c r="F29" s="399">
        <f>2000*0.1</f>
        <v>200</v>
      </c>
      <c r="G29" s="405">
        <f>G20</f>
        <v>398.49</v>
      </c>
      <c r="H29" s="406">
        <f>G29*F29</f>
        <v>79698</v>
      </c>
    </row>
    <row r="30" spans="1:8" ht="51">
      <c r="A30" s="402" t="s">
        <v>262</v>
      </c>
      <c r="B30" s="329" t="s">
        <v>263</v>
      </c>
      <c r="C30" s="331">
        <v>104488</v>
      </c>
      <c r="D30" s="404" t="s">
        <v>279</v>
      </c>
      <c r="E30" s="329" t="s">
        <v>268</v>
      </c>
      <c r="F30" s="407">
        <f>200*0.35</f>
        <v>70</v>
      </c>
      <c r="G30" s="407">
        <f>G21</f>
        <v>2486.4299999999998</v>
      </c>
      <c r="H30" s="406">
        <f>G30*F30</f>
        <v>174050.09999999998</v>
      </c>
    </row>
    <row r="31" spans="1:8" ht="25.5">
      <c r="A31" s="402" t="s">
        <v>262</v>
      </c>
      <c r="B31" s="329" t="s">
        <v>263</v>
      </c>
      <c r="C31" s="403">
        <v>98504</v>
      </c>
      <c r="D31" s="404" t="s">
        <v>282</v>
      </c>
      <c r="E31" s="329" t="s">
        <v>265</v>
      </c>
      <c r="F31" s="399">
        <v>2000</v>
      </c>
      <c r="G31" s="405">
        <v>14.530000000000001</v>
      </c>
      <c r="H31" s="406">
        <f>G31*F31</f>
        <v>29060.000000000004</v>
      </c>
    </row>
    <row r="32" spans="1:8">
      <c r="A32" s="402" t="s">
        <v>271</v>
      </c>
      <c r="B32" s="329"/>
      <c r="C32" s="403"/>
      <c r="D32" s="304" t="s">
        <v>272</v>
      </c>
      <c r="E32" s="329" t="s">
        <v>265</v>
      </c>
      <c r="F32" s="399">
        <v>2000</v>
      </c>
      <c r="G32" s="405">
        <f>120</f>
        <v>120</v>
      </c>
      <c r="H32" s="406">
        <f t="shared" ref="H32:H35" si="3">G32*F32</f>
        <v>240000</v>
      </c>
    </row>
    <row r="33" spans="1:8">
      <c r="A33" s="402" t="s">
        <v>271</v>
      </c>
      <c r="D33" s="304" t="s">
        <v>273</v>
      </c>
      <c r="E33" s="329" t="s">
        <v>265</v>
      </c>
      <c r="F33" s="399">
        <v>1000</v>
      </c>
      <c r="G33" s="405">
        <v>250</v>
      </c>
      <c r="H33" s="406">
        <f t="shared" si="3"/>
        <v>250000</v>
      </c>
    </row>
    <row r="34" spans="1:8" ht="14.25">
      <c r="A34" s="402" t="s">
        <v>271</v>
      </c>
      <c r="D34" s="304" t="s">
        <v>283</v>
      </c>
      <c r="E34" s="305" t="s">
        <v>284</v>
      </c>
      <c r="F34" s="415">
        <v>500</v>
      </c>
      <c r="G34" s="408">
        <v>100</v>
      </c>
      <c r="H34" s="406">
        <f t="shared" si="3"/>
        <v>50000</v>
      </c>
    </row>
    <row r="35" spans="1:8" ht="15" thickBot="1">
      <c r="A35" s="402" t="s">
        <v>271</v>
      </c>
      <c r="D35" s="304" t="s">
        <v>285</v>
      </c>
      <c r="E35" s="305" t="s">
        <v>284</v>
      </c>
      <c r="F35" s="415">
        <v>100</v>
      </c>
      <c r="G35" s="408">
        <v>586.70000000000005</v>
      </c>
      <c r="H35" s="406">
        <f t="shared" si="3"/>
        <v>58670.000000000007</v>
      </c>
    </row>
    <row r="36" spans="1:8" ht="13.5" thickBot="1">
      <c r="A36" s="391"/>
      <c r="B36" s="392"/>
      <c r="C36" s="393"/>
      <c r="D36" s="394" t="s">
        <v>286</v>
      </c>
      <c r="E36" s="392"/>
      <c r="F36" s="395"/>
      <c r="G36" s="395"/>
      <c r="H36" s="396">
        <f>SUM(H37:H41)</f>
        <v>1637453.5860000001</v>
      </c>
    </row>
    <row r="37" spans="1:8" s="307" customFormat="1" ht="63.75">
      <c r="A37" s="409" t="s">
        <v>262</v>
      </c>
      <c r="B37" s="410" t="s">
        <v>263</v>
      </c>
      <c r="C37" s="411">
        <v>101134</v>
      </c>
      <c r="D37" s="412" t="s">
        <v>274</v>
      </c>
      <c r="E37" s="410" t="s">
        <v>268</v>
      </c>
      <c r="F37" s="413">
        <f>884*0.85</f>
        <v>751.4</v>
      </c>
      <c r="G37" s="413">
        <f>G28</f>
        <v>15.09</v>
      </c>
      <c r="H37" s="414">
        <f>G37*F37</f>
        <v>11338.626</v>
      </c>
    </row>
    <row r="38" spans="1:8" s="307" customFormat="1" ht="51">
      <c r="A38" s="402" t="s">
        <v>262</v>
      </c>
      <c r="B38" s="329" t="s">
        <v>263</v>
      </c>
      <c r="C38" s="331">
        <v>104488</v>
      </c>
      <c r="D38" s="404" t="s">
        <v>279</v>
      </c>
      <c r="E38" s="329" t="s">
        <v>268</v>
      </c>
      <c r="F38" s="407">
        <f>800*0.45</f>
        <v>360</v>
      </c>
      <c r="G38" s="407">
        <f>G30</f>
        <v>2486.4299999999998</v>
      </c>
      <c r="H38" s="406">
        <f>G38*F38</f>
        <v>895114.79999999993</v>
      </c>
    </row>
    <row r="39" spans="1:8">
      <c r="A39" s="402" t="s">
        <v>271</v>
      </c>
      <c r="B39" s="329"/>
      <c r="C39" s="403"/>
      <c r="D39" s="304" t="s">
        <v>287</v>
      </c>
      <c r="E39" s="329" t="s">
        <v>265</v>
      </c>
      <c r="F39" s="399">
        <v>884</v>
      </c>
      <c r="G39" s="405">
        <v>407.24</v>
      </c>
      <c r="H39" s="406">
        <f t="shared" ref="H39:H41" si="4">G39*F39</f>
        <v>360000.16000000003</v>
      </c>
    </row>
    <row r="40" spans="1:8">
      <c r="A40" s="402" t="s">
        <v>271</v>
      </c>
      <c r="D40" s="304" t="s">
        <v>273</v>
      </c>
      <c r="E40" s="329" t="s">
        <v>265</v>
      </c>
      <c r="F40" s="399">
        <v>884</v>
      </c>
      <c r="G40" s="405">
        <v>250</v>
      </c>
      <c r="H40" s="406">
        <f t="shared" si="4"/>
        <v>221000</v>
      </c>
    </row>
    <row r="41" spans="1:8" ht="13.5" thickBot="1">
      <c r="A41" s="397" t="s">
        <v>271</v>
      </c>
      <c r="D41" s="304" t="s">
        <v>288</v>
      </c>
      <c r="E41" s="329" t="s">
        <v>277</v>
      </c>
      <c r="F41" s="408">
        <v>10</v>
      </c>
      <c r="G41" s="416">
        <v>15000</v>
      </c>
      <c r="H41" s="406">
        <f t="shared" si="4"/>
        <v>150000</v>
      </c>
    </row>
    <row r="42" spans="1:8" ht="13.5" thickBot="1">
      <c r="A42" s="391"/>
      <c r="B42" s="392"/>
      <c r="C42" s="393"/>
      <c r="D42" s="394" t="s">
        <v>289</v>
      </c>
      <c r="E42" s="392"/>
      <c r="F42" s="395"/>
      <c r="G42" s="395"/>
      <c r="H42" s="396">
        <f>SUM(H43:H48)</f>
        <v>12068707.700000001</v>
      </c>
    </row>
    <row r="43" spans="1:8" ht="63.75">
      <c r="A43" s="402" t="s">
        <v>262</v>
      </c>
      <c r="B43" s="329" t="s">
        <v>263</v>
      </c>
      <c r="C43" s="331">
        <v>101134</v>
      </c>
      <c r="D43" s="404" t="s">
        <v>274</v>
      </c>
      <c r="E43" s="329" t="s">
        <v>268</v>
      </c>
      <c r="F43" s="407">
        <f>10700*0.55</f>
        <v>5885.0000000000009</v>
      </c>
      <c r="G43" s="407">
        <f>G37</f>
        <v>15.09</v>
      </c>
      <c r="H43" s="406">
        <f>G43*F43</f>
        <v>88804.650000000009</v>
      </c>
    </row>
    <row r="44" spans="1:8" ht="51">
      <c r="A44" s="402" t="s">
        <v>262</v>
      </c>
      <c r="B44" s="329" t="s">
        <v>263</v>
      </c>
      <c r="C44" s="331">
        <v>104488</v>
      </c>
      <c r="D44" s="404" t="s">
        <v>279</v>
      </c>
      <c r="E44" s="329" t="s">
        <v>268</v>
      </c>
      <c r="F44" s="407">
        <f>5700*0.55</f>
        <v>3135.0000000000005</v>
      </c>
      <c r="G44" s="407">
        <f>G38</f>
        <v>2486.4299999999998</v>
      </c>
      <c r="H44" s="406">
        <f>G44*F44</f>
        <v>7794958.0500000007</v>
      </c>
    </row>
    <row r="45" spans="1:8" ht="51">
      <c r="A45" s="402" t="s">
        <v>262</v>
      </c>
      <c r="B45" s="329" t="s">
        <v>263</v>
      </c>
      <c r="C45" s="403">
        <v>96396</v>
      </c>
      <c r="D45" s="404" t="s">
        <v>275</v>
      </c>
      <c r="E45" s="329" t="s">
        <v>268</v>
      </c>
      <c r="F45" s="407">
        <f>5000*0.1</f>
        <v>500</v>
      </c>
      <c r="G45" s="405">
        <f>G29</f>
        <v>398.49</v>
      </c>
      <c r="H45" s="406">
        <f>G45*F45</f>
        <v>199245</v>
      </c>
    </row>
    <row r="46" spans="1:8">
      <c r="A46" s="402" t="s">
        <v>271</v>
      </c>
      <c r="D46" s="304" t="s">
        <v>280</v>
      </c>
      <c r="E46" s="305" t="s">
        <v>265</v>
      </c>
      <c r="F46" s="407">
        <v>5000</v>
      </c>
      <c r="G46" s="407">
        <v>280</v>
      </c>
      <c r="H46" s="406">
        <f>G46*F46</f>
        <v>1400000</v>
      </c>
    </row>
    <row r="47" spans="1:8">
      <c r="A47" s="402" t="s">
        <v>271</v>
      </c>
      <c r="B47" s="329"/>
      <c r="C47" s="403"/>
      <c r="D47" s="304" t="s">
        <v>272</v>
      </c>
      <c r="E47" s="329" t="s">
        <v>265</v>
      </c>
      <c r="F47" s="399">
        <v>8660</v>
      </c>
      <c r="G47" s="405">
        <v>120</v>
      </c>
      <c r="H47" s="406">
        <f t="shared" ref="H47:H48" si="5">G47*F47</f>
        <v>1039200</v>
      </c>
    </row>
    <row r="48" spans="1:8" ht="13.5" thickBot="1">
      <c r="A48" s="402" t="s">
        <v>271</v>
      </c>
      <c r="D48" s="304" t="s">
        <v>273</v>
      </c>
      <c r="E48" s="329" t="s">
        <v>265</v>
      </c>
      <c r="F48" s="399">
        <v>6186</v>
      </c>
      <c r="G48" s="405">
        <v>250</v>
      </c>
      <c r="H48" s="406">
        <f t="shared" si="5"/>
        <v>1546500</v>
      </c>
    </row>
    <row r="49" spans="1:8" ht="13.5" thickBot="1">
      <c r="A49" s="391"/>
      <c r="B49" s="392"/>
      <c r="C49" s="393"/>
      <c r="D49" s="394" t="s">
        <v>290</v>
      </c>
      <c r="E49" s="392"/>
      <c r="F49" s="395"/>
      <c r="G49" s="395"/>
      <c r="H49" s="396">
        <f>H50</f>
        <v>929208.98</v>
      </c>
    </row>
    <row r="50" spans="1:8" s="307" customFormat="1">
      <c r="A50" s="402" t="s">
        <v>262</v>
      </c>
      <c r="B50" s="329" t="s">
        <v>263</v>
      </c>
      <c r="C50" s="417"/>
      <c r="D50" s="412" t="s">
        <v>291</v>
      </c>
      <c r="E50" s="418" t="s">
        <v>292</v>
      </c>
      <c r="F50" s="419">
        <v>1</v>
      </c>
      <c r="G50" s="419">
        <v>929208.98</v>
      </c>
      <c r="H50" s="414">
        <f>G50*F50</f>
        <v>929208.98</v>
      </c>
    </row>
    <row r="51" spans="1:8" s="307" customFormat="1" ht="13.5" thickBot="1">
      <c r="A51" s="402"/>
      <c r="B51" s="329"/>
      <c r="C51" s="417"/>
      <c r="D51" s="412"/>
      <c r="E51" s="418"/>
      <c r="F51" s="419"/>
      <c r="G51" s="419"/>
      <c r="H51" s="414"/>
    </row>
    <row r="52" spans="1:8" s="307" customFormat="1" ht="13.5" thickBot="1">
      <c r="A52" s="391"/>
      <c r="B52" s="392"/>
      <c r="C52" s="393"/>
      <c r="D52" s="394" t="s">
        <v>243</v>
      </c>
      <c r="E52" s="392"/>
      <c r="F52" s="395"/>
      <c r="G52" s="395"/>
      <c r="H52" s="396">
        <f>H53</f>
        <v>37100</v>
      </c>
    </row>
    <row r="53" spans="1:8" s="307" customFormat="1">
      <c r="A53" s="420" t="s">
        <v>271</v>
      </c>
      <c r="B53" s="421"/>
      <c r="C53" s="422"/>
      <c r="D53" s="412" t="s">
        <v>293</v>
      </c>
      <c r="E53" s="418" t="s">
        <v>294</v>
      </c>
      <c r="F53" s="419">
        <v>53</v>
      </c>
      <c r="G53" s="419">
        <v>700</v>
      </c>
      <c r="H53" s="423">
        <v>37100</v>
      </c>
    </row>
    <row r="54" spans="1:8" s="307" customFormat="1" ht="13.5" thickBot="1">
      <c r="A54" s="420"/>
      <c r="B54" s="421"/>
      <c r="C54" s="417"/>
      <c r="D54" s="424"/>
      <c r="E54" s="418"/>
      <c r="F54" s="425"/>
      <c r="G54" s="419"/>
      <c r="H54" s="423"/>
    </row>
    <row r="55" spans="1:8">
      <c r="A55" s="658" t="s">
        <v>295</v>
      </c>
      <c r="B55" s="659"/>
      <c r="C55" s="659"/>
      <c r="D55" s="426" t="s">
        <v>257</v>
      </c>
      <c r="E55" s="427" t="s">
        <v>80</v>
      </c>
      <c r="F55" s="428"/>
      <c r="G55" s="428"/>
      <c r="H55" s="429">
        <f>H2+H5+H13+H18+H27+H36+H42+H49+H52</f>
        <v>28086685.886720005</v>
      </c>
    </row>
    <row r="56" spans="1:8">
      <c r="A56" s="660" t="s">
        <v>296</v>
      </c>
      <c r="B56" s="661"/>
      <c r="C56" s="661"/>
      <c r="D56" s="306" t="s">
        <v>297</v>
      </c>
      <c r="E56" s="430" t="s">
        <v>80</v>
      </c>
      <c r="F56" s="431">
        <f>H55</f>
        <v>28086685.886720005</v>
      </c>
      <c r="G56" s="432">
        <v>0.3342</v>
      </c>
      <c r="H56" s="433">
        <f>F56*G56</f>
        <v>9386570.4233418256</v>
      </c>
    </row>
    <row r="57" spans="1:8" ht="13.5" thickBot="1">
      <c r="A57" s="662" t="s">
        <v>298</v>
      </c>
      <c r="B57" s="663"/>
      <c r="C57" s="663"/>
      <c r="D57" s="434" t="s">
        <v>299</v>
      </c>
      <c r="E57" s="435" t="s">
        <v>80</v>
      </c>
      <c r="F57" s="436"/>
      <c r="G57" s="436"/>
      <c r="H57" s="437">
        <f>H55+H56</f>
        <v>37473256.310061827</v>
      </c>
    </row>
  </sheetData>
  <sheetProtection password="C643" sheet="1" objects="1" scenarios="1"/>
  <mergeCells count="3">
    <mergeCell ref="A55:C55"/>
    <mergeCell ref="A56:C56"/>
    <mergeCell ref="A57:C57"/>
  </mergeCells>
  <hyperlinks>
    <hyperlink ref="C53" r:id="rId1" display="https://www2.rio.rj.gov.br/sco/composicaosco.cfm?item=1SE05050050%2F202408" xr:uid="{00000000-0004-0000-0900-000000000000}"/>
  </hyperlinks>
  <pageMargins left="0.511811024" right="0.511811024" top="0.78740157499999996" bottom="0.78740157499999996" header="0.31496062000000002" footer="0.31496062000000002"/>
  <pageSetup paperSize="9" orientation="landscape" horizontalDpi="360" verticalDpi="36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44"/>
  <sheetViews>
    <sheetView topLeftCell="A40" workbookViewId="0">
      <selection activeCell="G68" sqref="G68"/>
    </sheetView>
  </sheetViews>
  <sheetFormatPr defaultColWidth="9.140625" defaultRowHeight="12.75"/>
  <cols>
    <col min="1" max="1" width="45.7109375" style="477" bestFit="1" customWidth="1"/>
    <col min="2" max="2" width="10.5703125" style="477" bestFit="1" customWidth="1"/>
    <col min="3" max="3" width="10.140625" style="477" bestFit="1" customWidth="1"/>
    <col min="4" max="4" width="13.5703125" style="477" bestFit="1" customWidth="1"/>
    <col min="5" max="5" width="14.28515625" style="477" bestFit="1" customWidth="1"/>
    <col min="6" max="6" width="16" style="477" bestFit="1" customWidth="1"/>
    <col min="7" max="16384" width="9.140625" style="477"/>
  </cols>
  <sheetData>
    <row r="1" spans="1:7" ht="45.75" thickBot="1">
      <c r="A1" s="473" t="s">
        <v>300</v>
      </c>
      <c r="B1" s="474" t="s">
        <v>254</v>
      </c>
      <c r="C1" s="475" t="s">
        <v>301</v>
      </c>
      <c r="D1" s="475" t="s">
        <v>302</v>
      </c>
      <c r="E1" s="474" t="s">
        <v>303</v>
      </c>
      <c r="F1" s="474" t="s">
        <v>304</v>
      </c>
      <c r="G1" s="476" t="s">
        <v>305</v>
      </c>
    </row>
    <row r="2" spans="1:7" ht="15.75" thickBot="1">
      <c r="A2" s="664" t="s">
        <v>306</v>
      </c>
      <c r="B2" s="665"/>
      <c r="C2" s="665"/>
      <c r="D2" s="665"/>
      <c r="E2" s="665"/>
      <c r="F2" s="665"/>
      <c r="G2" s="666"/>
    </row>
    <row r="3" spans="1:7" ht="15" thickBot="1">
      <c r="A3" s="478" t="s">
        <v>307</v>
      </c>
      <c r="B3" s="479" t="s">
        <v>308</v>
      </c>
      <c r="C3" s="480">
        <v>1</v>
      </c>
      <c r="D3" s="480">
        <v>90000</v>
      </c>
      <c r="E3" s="480">
        <f>D3*C3</f>
        <v>90000</v>
      </c>
      <c r="F3" s="480" t="s">
        <v>309</v>
      </c>
      <c r="G3" s="480"/>
    </row>
    <row r="4" spans="1:7" ht="15" thickBot="1">
      <c r="A4" s="478" t="s">
        <v>310</v>
      </c>
      <c r="B4" s="479" t="s">
        <v>308</v>
      </c>
      <c r="C4" s="480">
        <v>1</v>
      </c>
      <c r="D4" s="480">
        <f>E4</f>
        <v>3500000</v>
      </c>
      <c r="E4" s="480">
        <v>3500000</v>
      </c>
      <c r="F4" s="480">
        <f>3439080*0.2</f>
        <v>687816</v>
      </c>
      <c r="G4" s="480" t="s">
        <v>311</v>
      </c>
    </row>
    <row r="5" spans="1:7" ht="15" thickBot="1">
      <c r="A5" s="478" t="s">
        <v>312</v>
      </c>
      <c r="B5" s="479" t="s">
        <v>313</v>
      </c>
      <c r="C5" s="480">
        <v>26600</v>
      </c>
      <c r="D5" s="480">
        <v>150.38</v>
      </c>
      <c r="E5" s="480">
        <v>4000000</v>
      </c>
      <c r="F5" s="480">
        <f>5189000*0.15</f>
        <v>778350</v>
      </c>
      <c r="G5" s="480" t="s">
        <v>311</v>
      </c>
    </row>
    <row r="6" spans="1:7" ht="15" thickBot="1">
      <c r="A6" s="478" t="s">
        <v>314</v>
      </c>
      <c r="B6" s="479" t="s">
        <v>313</v>
      </c>
      <c r="C6" s="480">
        <f>C5</f>
        <v>26600</v>
      </c>
      <c r="D6" s="480">
        <v>165.41</v>
      </c>
      <c r="E6" s="480">
        <v>4400000</v>
      </c>
      <c r="F6" s="480">
        <f>3038400.16*0.2</f>
        <v>607680.03200000001</v>
      </c>
      <c r="G6" s="480" t="s">
        <v>311</v>
      </c>
    </row>
    <row r="7" spans="1:7" ht="15" thickBot="1">
      <c r="A7" s="478" t="s">
        <v>315</v>
      </c>
      <c r="B7" s="479" t="s">
        <v>313</v>
      </c>
      <c r="C7" s="480">
        <f>C6</f>
        <v>26600</v>
      </c>
      <c r="D7" s="480">
        <v>142.86000000000001</v>
      </c>
      <c r="E7" s="480">
        <v>3800000</v>
      </c>
      <c r="F7" s="480"/>
      <c r="G7" s="480"/>
    </row>
    <row r="8" spans="1:7" ht="15.75" thickBot="1">
      <c r="A8" s="481" t="s">
        <v>316</v>
      </c>
      <c r="B8" s="482"/>
      <c r="C8" s="483"/>
      <c r="D8" s="483"/>
      <c r="E8" s="483">
        <f>SUM(E3:E7)</f>
        <v>15790000</v>
      </c>
      <c r="F8" s="483"/>
      <c r="G8" s="483"/>
    </row>
    <row r="9" spans="1:7" ht="15.75" thickBot="1">
      <c r="A9" s="664" t="s">
        <v>317</v>
      </c>
      <c r="B9" s="665"/>
      <c r="C9" s="665"/>
      <c r="D9" s="665"/>
      <c r="E9" s="665"/>
      <c r="F9" s="665"/>
      <c r="G9" s="666"/>
    </row>
    <row r="10" spans="1:7" ht="15" thickBot="1">
      <c r="A10" s="478" t="s">
        <v>307</v>
      </c>
      <c r="B10" s="479" t="s">
        <v>308</v>
      </c>
      <c r="C10" s="480">
        <v>1</v>
      </c>
      <c r="D10" s="480">
        <v>30000</v>
      </c>
      <c r="E10" s="480">
        <f>D10*C10</f>
        <v>30000</v>
      </c>
      <c r="F10" s="667" t="s">
        <v>309</v>
      </c>
      <c r="G10" s="667" t="s">
        <v>309</v>
      </c>
    </row>
    <row r="11" spans="1:7" ht="15" thickBot="1">
      <c r="A11" s="478" t="s">
        <v>318</v>
      </c>
      <c r="B11" s="479" t="s">
        <v>308</v>
      </c>
      <c r="C11" s="480">
        <v>1</v>
      </c>
      <c r="D11" s="480">
        <v>300000</v>
      </c>
      <c r="E11" s="480">
        <f>C11*D11</f>
        <v>300000</v>
      </c>
      <c r="F11" s="668"/>
      <c r="G11" s="668"/>
    </row>
    <row r="12" spans="1:7" ht="15" thickBot="1">
      <c r="A12" s="478" t="s">
        <v>319</v>
      </c>
      <c r="B12" s="479" t="s">
        <v>308</v>
      </c>
      <c r="C12" s="480">
        <v>1</v>
      </c>
      <c r="D12" s="480">
        <v>180000</v>
      </c>
      <c r="E12" s="480">
        <v>180000</v>
      </c>
      <c r="F12" s="668"/>
      <c r="G12" s="668"/>
    </row>
    <row r="13" spans="1:7" ht="15" thickBot="1">
      <c r="A13" s="478" t="s">
        <v>320</v>
      </c>
      <c r="B13" s="479" t="s">
        <v>308</v>
      </c>
      <c r="C13" s="480">
        <v>1</v>
      </c>
      <c r="D13" s="480">
        <v>1600000</v>
      </c>
      <c r="E13" s="480">
        <v>1600000</v>
      </c>
      <c r="F13" s="668"/>
      <c r="G13" s="668"/>
    </row>
    <row r="14" spans="1:7" ht="15.75" thickBot="1">
      <c r="A14" s="481" t="s">
        <v>316</v>
      </c>
      <c r="B14" s="482"/>
      <c r="C14" s="483"/>
      <c r="D14" s="483"/>
      <c r="E14" s="483">
        <f>SUM(E10:E13)</f>
        <v>2110000</v>
      </c>
      <c r="F14" s="483"/>
      <c r="G14" s="483"/>
    </row>
    <row r="15" spans="1:7" ht="18" thickBot="1">
      <c r="A15" s="664" t="s">
        <v>321</v>
      </c>
      <c r="B15" s="665"/>
      <c r="C15" s="665"/>
      <c r="D15" s="665"/>
      <c r="E15" s="665"/>
      <c r="F15" s="665"/>
      <c r="G15" s="666"/>
    </row>
    <row r="16" spans="1:7" ht="15" thickBot="1">
      <c r="A16" s="478" t="s">
        <v>307</v>
      </c>
      <c r="B16" s="479" t="s">
        <v>308</v>
      </c>
      <c r="C16" s="480">
        <v>1</v>
      </c>
      <c r="D16" s="480">
        <v>35000</v>
      </c>
      <c r="E16" s="480">
        <f>D16*C16</f>
        <v>35000</v>
      </c>
      <c r="F16" s="480"/>
      <c r="G16" s="480"/>
    </row>
    <row r="17" spans="1:7" ht="15" thickBot="1">
      <c r="A17" s="478" t="s">
        <v>322</v>
      </c>
      <c r="B17" s="479" t="s">
        <v>308</v>
      </c>
      <c r="C17" s="480">
        <v>1</v>
      </c>
      <c r="D17" s="480">
        <v>250000</v>
      </c>
      <c r="E17" s="480">
        <v>250000</v>
      </c>
      <c r="F17" s="480"/>
      <c r="G17" s="480"/>
    </row>
    <row r="18" spans="1:7" ht="15" thickBot="1">
      <c r="A18" s="478" t="s">
        <v>323</v>
      </c>
      <c r="B18" s="479" t="s">
        <v>313</v>
      </c>
      <c r="C18" s="480">
        <v>56000</v>
      </c>
      <c r="D18" s="480">
        <v>27.2</v>
      </c>
      <c r="E18" s="480">
        <f>C18*D18</f>
        <v>1523200</v>
      </c>
      <c r="F18" s="480"/>
      <c r="G18" s="480"/>
    </row>
    <row r="19" spans="1:7" ht="15" thickBot="1">
      <c r="A19" s="478" t="s">
        <v>324</v>
      </c>
      <c r="B19" s="479" t="s">
        <v>308</v>
      </c>
      <c r="C19" s="480">
        <v>4</v>
      </c>
      <c r="D19" s="480">
        <v>35000</v>
      </c>
      <c r="E19" s="480">
        <f>C19*D19</f>
        <v>140000</v>
      </c>
      <c r="F19" s="480">
        <f>140000*0.85</f>
        <v>119000</v>
      </c>
      <c r="G19" s="480" t="s">
        <v>325</v>
      </c>
    </row>
    <row r="20" spans="1:7" ht="15" thickBot="1">
      <c r="A20" s="478" t="s">
        <v>326</v>
      </c>
      <c r="B20" s="479" t="s">
        <v>308</v>
      </c>
      <c r="C20" s="480">
        <v>1</v>
      </c>
      <c r="D20" s="480">
        <v>250000</v>
      </c>
      <c r="E20" s="480">
        <v>250000</v>
      </c>
      <c r="F20" s="480"/>
      <c r="G20" s="480"/>
    </row>
    <row r="21" spans="1:7" ht="15.75" thickBot="1">
      <c r="A21" s="481" t="s">
        <v>316</v>
      </c>
      <c r="B21" s="482"/>
      <c r="C21" s="483"/>
      <c r="D21" s="483"/>
      <c r="E21" s="483">
        <f>SUM(E16:E20)</f>
        <v>2198200</v>
      </c>
      <c r="F21" s="483"/>
      <c r="G21" s="483"/>
    </row>
    <row r="22" spans="1:7" ht="15.75" thickBot="1">
      <c r="A22" s="664" t="s">
        <v>327</v>
      </c>
      <c r="B22" s="665"/>
      <c r="C22" s="665"/>
      <c r="D22" s="665"/>
      <c r="E22" s="665"/>
      <c r="F22" s="665"/>
      <c r="G22" s="666"/>
    </row>
    <row r="23" spans="1:7" ht="15" thickBot="1">
      <c r="A23" s="478" t="s">
        <v>307</v>
      </c>
      <c r="B23" s="479" t="s">
        <v>308</v>
      </c>
      <c r="C23" s="480">
        <v>1</v>
      </c>
      <c r="D23" s="480">
        <v>75000</v>
      </c>
      <c r="E23" s="480">
        <f>D23*C23</f>
        <v>75000</v>
      </c>
      <c r="F23" s="480"/>
      <c r="G23" s="480"/>
    </row>
    <row r="24" spans="1:7" ht="15" thickBot="1">
      <c r="A24" s="478" t="s">
        <v>322</v>
      </c>
      <c r="B24" s="479" t="s">
        <v>308</v>
      </c>
      <c r="C24" s="480">
        <v>1</v>
      </c>
      <c r="D24" s="480">
        <v>300000</v>
      </c>
      <c r="E24" s="480">
        <v>300000</v>
      </c>
      <c r="F24" s="480"/>
      <c r="G24" s="480"/>
    </row>
    <row r="25" spans="1:7" ht="15" thickBot="1">
      <c r="A25" s="478" t="s">
        <v>328</v>
      </c>
      <c r="B25" s="479" t="s">
        <v>313</v>
      </c>
      <c r="C25" s="480">
        <v>3200</v>
      </c>
      <c r="D25" s="480">
        <v>220</v>
      </c>
      <c r="E25" s="480">
        <f>C25*D25</f>
        <v>704000</v>
      </c>
      <c r="F25" s="480"/>
      <c r="G25" s="480"/>
    </row>
    <row r="26" spans="1:7" ht="15" thickBot="1">
      <c r="A26" s="478" t="s">
        <v>329</v>
      </c>
      <c r="B26" s="479" t="s">
        <v>313</v>
      </c>
      <c r="C26" s="480">
        <v>3000</v>
      </c>
      <c r="D26" s="480">
        <v>100</v>
      </c>
      <c r="E26" s="480">
        <f>C26*D26</f>
        <v>300000</v>
      </c>
      <c r="F26" s="480"/>
      <c r="G26" s="480"/>
    </row>
    <row r="27" spans="1:7" ht="15" thickBot="1">
      <c r="A27" s="478" t="s">
        <v>330</v>
      </c>
      <c r="B27" s="479" t="s">
        <v>308</v>
      </c>
      <c r="C27" s="480">
        <v>2</v>
      </c>
      <c r="D27" s="480">
        <v>35000</v>
      </c>
      <c r="E27" s="480">
        <f>C27*D27</f>
        <v>70000</v>
      </c>
      <c r="F27" s="480">
        <f>E27*0.85</f>
        <v>59500</v>
      </c>
      <c r="G27" s="480" t="s">
        <v>325</v>
      </c>
    </row>
    <row r="28" spans="1:7" ht="15" thickBot="1">
      <c r="A28" s="478" t="s">
        <v>331</v>
      </c>
      <c r="B28" s="479" t="s">
        <v>313</v>
      </c>
      <c r="C28" s="480">
        <v>700</v>
      </c>
      <c r="D28" s="480">
        <v>2800</v>
      </c>
      <c r="E28" s="480">
        <f>D28*C28</f>
        <v>1960000</v>
      </c>
      <c r="F28" s="480"/>
      <c r="G28" s="480"/>
    </row>
    <row r="29" spans="1:7" ht="15.75" thickBot="1">
      <c r="A29" s="481" t="s">
        <v>316</v>
      </c>
      <c r="B29" s="482"/>
      <c r="C29" s="483"/>
      <c r="D29" s="483"/>
      <c r="E29" s="483">
        <f>SUM(E23:E28)</f>
        <v>3409000</v>
      </c>
      <c r="F29" s="483"/>
      <c r="G29" s="483"/>
    </row>
    <row r="30" spans="1:7" ht="18" thickBot="1">
      <c r="A30" s="664" t="s">
        <v>332</v>
      </c>
      <c r="B30" s="665"/>
      <c r="C30" s="665"/>
      <c r="D30" s="665"/>
      <c r="E30" s="665"/>
      <c r="F30" s="665"/>
      <c r="G30" s="666"/>
    </row>
    <row r="31" spans="1:7" ht="15" thickBot="1">
      <c r="A31" s="478" t="s">
        <v>307</v>
      </c>
      <c r="B31" s="479" t="s">
        <v>308</v>
      </c>
      <c r="C31" s="480">
        <v>1</v>
      </c>
      <c r="D31" s="480">
        <v>46000</v>
      </c>
      <c r="E31" s="480">
        <f>D31*C31</f>
        <v>46000</v>
      </c>
      <c r="F31" s="480"/>
      <c r="G31" s="480"/>
    </row>
    <row r="32" spans="1:7" ht="15" thickBot="1">
      <c r="A32" s="478" t="s">
        <v>322</v>
      </c>
      <c r="B32" s="479" t="s">
        <v>308</v>
      </c>
      <c r="C32" s="480">
        <v>1</v>
      </c>
      <c r="D32" s="480">
        <v>400000</v>
      </c>
      <c r="E32" s="480">
        <v>400000</v>
      </c>
      <c r="F32" s="480"/>
      <c r="G32" s="480"/>
    </row>
    <row r="33" spans="1:7" ht="15" thickBot="1">
      <c r="A33" s="478" t="s">
        <v>333</v>
      </c>
      <c r="B33" s="479" t="s">
        <v>313</v>
      </c>
      <c r="C33" s="480">
        <v>884</v>
      </c>
      <c r="D33" s="480">
        <v>407.24</v>
      </c>
      <c r="E33" s="480">
        <f>C33*D33</f>
        <v>360000.16000000003</v>
      </c>
      <c r="F33" s="480">
        <f>E33*0.2</f>
        <v>72000.032000000007</v>
      </c>
      <c r="G33" s="480" t="s">
        <v>311</v>
      </c>
    </row>
    <row r="34" spans="1:7" ht="15" thickBot="1">
      <c r="A34" s="478" t="s">
        <v>334</v>
      </c>
      <c r="B34" s="479" t="s">
        <v>308</v>
      </c>
      <c r="C34" s="480">
        <v>10</v>
      </c>
      <c r="D34" s="480">
        <v>15000</v>
      </c>
      <c r="E34" s="480">
        <f>C34*D34</f>
        <v>150000</v>
      </c>
      <c r="F34" s="480">
        <f>E34*0.65</f>
        <v>97500</v>
      </c>
      <c r="G34" s="480" t="s">
        <v>325</v>
      </c>
    </row>
    <row r="35" spans="1:7" ht="15" thickBot="1">
      <c r="A35" s="478" t="s">
        <v>335</v>
      </c>
      <c r="B35" s="479" t="s">
        <v>313</v>
      </c>
      <c r="C35" s="480">
        <v>884</v>
      </c>
      <c r="D35" s="480">
        <v>1700</v>
      </c>
      <c r="E35" s="480">
        <f>D35*C35</f>
        <v>1502800</v>
      </c>
      <c r="F35" s="480"/>
      <c r="G35" s="480"/>
    </row>
    <row r="36" spans="1:7" ht="15.75" thickBot="1">
      <c r="A36" s="481" t="s">
        <v>316</v>
      </c>
      <c r="B36" s="482"/>
      <c r="C36" s="483"/>
      <c r="D36" s="483"/>
      <c r="E36" s="483">
        <f>SUM(E31:E35)</f>
        <v>2458800.16</v>
      </c>
      <c r="F36" s="483"/>
      <c r="G36" s="483"/>
    </row>
    <row r="37" spans="1:7" ht="15.75" thickBot="1">
      <c r="A37" s="664" t="s">
        <v>336</v>
      </c>
      <c r="B37" s="665"/>
      <c r="C37" s="665"/>
      <c r="D37" s="665"/>
      <c r="E37" s="665"/>
      <c r="F37" s="665"/>
      <c r="G37" s="666"/>
    </row>
    <row r="38" spans="1:7" ht="15" thickBot="1">
      <c r="A38" s="478" t="s">
        <v>307</v>
      </c>
      <c r="B38" s="479" t="s">
        <v>308</v>
      </c>
      <c r="C38" s="480">
        <v>1</v>
      </c>
      <c r="D38" s="480">
        <v>76000</v>
      </c>
      <c r="E38" s="480">
        <f t="shared" ref="E38:E44" si="0">D38*C38</f>
        <v>76000</v>
      </c>
      <c r="F38" s="480"/>
      <c r="G38" s="480"/>
    </row>
    <row r="39" spans="1:7" ht="15" thickBot="1">
      <c r="A39" s="478" t="s">
        <v>337</v>
      </c>
      <c r="B39" s="479" t="s">
        <v>313</v>
      </c>
      <c r="C39" s="480">
        <v>2000</v>
      </c>
      <c r="D39" s="480">
        <v>456.5</v>
      </c>
      <c r="E39" s="480">
        <f t="shared" si="0"/>
        <v>913000</v>
      </c>
      <c r="F39" s="480"/>
      <c r="G39" s="480"/>
    </row>
    <row r="40" spans="1:7" ht="15" thickBot="1">
      <c r="A40" s="478" t="s">
        <v>338</v>
      </c>
      <c r="B40" s="479" t="s">
        <v>313</v>
      </c>
      <c r="C40" s="480">
        <v>750</v>
      </c>
      <c r="D40" s="480">
        <v>38.9</v>
      </c>
      <c r="E40" s="480">
        <f t="shared" si="0"/>
        <v>29175</v>
      </c>
      <c r="F40" s="480"/>
      <c r="G40" s="480"/>
    </row>
    <row r="41" spans="1:7" ht="15" thickBot="1">
      <c r="A41" s="478" t="s">
        <v>339</v>
      </c>
      <c r="B41" s="479" t="s">
        <v>308</v>
      </c>
      <c r="C41" s="480">
        <v>35</v>
      </c>
      <c r="D41" s="480">
        <v>3500</v>
      </c>
      <c r="E41" s="480">
        <f t="shared" si="0"/>
        <v>122500</v>
      </c>
      <c r="F41" s="480"/>
      <c r="G41" s="480"/>
    </row>
    <row r="42" spans="1:7" ht="15" thickBot="1">
      <c r="A42" s="478" t="s">
        <v>22</v>
      </c>
      <c r="B42" s="479" t="s">
        <v>313</v>
      </c>
      <c r="C42" s="480">
        <v>1100</v>
      </c>
      <c r="D42" s="480">
        <v>150</v>
      </c>
      <c r="E42" s="480">
        <f t="shared" si="0"/>
        <v>165000</v>
      </c>
      <c r="F42" s="480"/>
      <c r="G42" s="480"/>
    </row>
    <row r="43" spans="1:7" ht="15" thickBot="1">
      <c r="A43" s="478" t="s">
        <v>340</v>
      </c>
      <c r="B43" s="479" t="s">
        <v>284</v>
      </c>
      <c r="C43" s="480">
        <v>500</v>
      </c>
      <c r="D43" s="480">
        <v>100</v>
      </c>
      <c r="E43" s="480">
        <f t="shared" si="0"/>
        <v>50000</v>
      </c>
      <c r="F43" s="480">
        <f>E43*0.3</f>
        <v>15000</v>
      </c>
      <c r="G43" s="480" t="s">
        <v>341</v>
      </c>
    </row>
    <row r="44" spans="1:7" ht="15" thickBot="1">
      <c r="A44" s="478" t="s">
        <v>342</v>
      </c>
      <c r="B44" s="479" t="s">
        <v>284</v>
      </c>
      <c r="C44" s="480">
        <v>100</v>
      </c>
      <c r="D44" s="480">
        <v>586.70000000000005</v>
      </c>
      <c r="E44" s="480">
        <f t="shared" si="0"/>
        <v>58670.000000000007</v>
      </c>
      <c r="F44" s="480">
        <f>E44*0.4</f>
        <v>23468.000000000004</v>
      </c>
      <c r="G44" s="480" t="s">
        <v>341</v>
      </c>
    </row>
  </sheetData>
  <sheetProtection password="C643" sheet="1" objects="1" scenarios="1"/>
  <mergeCells count="8">
    <mergeCell ref="A30:G30"/>
    <mergeCell ref="A37:G37"/>
    <mergeCell ref="A2:G2"/>
    <mergeCell ref="A9:G9"/>
    <mergeCell ref="F10:F13"/>
    <mergeCell ref="G10:G13"/>
    <mergeCell ref="A15:G15"/>
    <mergeCell ref="A22:G2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O153"/>
  <sheetViews>
    <sheetView showGridLines="0" zoomScaleNormal="100" workbookViewId="0">
      <pane ySplit="3" topLeftCell="A113" activePane="bottomLeft" state="frozen"/>
      <selection pane="bottomLeft" activeCell="G68" sqref="G68"/>
      <selection activeCell="G68" sqref="G68"/>
    </sheetView>
  </sheetViews>
  <sheetFormatPr defaultColWidth="14.42578125" defaultRowHeight="15" customHeight="1"/>
  <cols>
    <col min="1" max="1" width="35.5703125" bestFit="1" customWidth="1"/>
    <col min="2" max="2" width="56.28515625" bestFit="1" customWidth="1"/>
    <col min="3" max="3" width="15" bestFit="1" customWidth="1"/>
    <col min="4" max="4" width="14.85546875" bestFit="1" customWidth="1"/>
    <col min="5" max="6" width="6.7109375" bestFit="1" customWidth="1"/>
    <col min="7" max="34" width="7.28515625" bestFit="1" customWidth="1"/>
    <col min="35" max="39" width="5.28515625" bestFit="1" customWidth="1"/>
    <col min="40" max="40" width="6.140625" bestFit="1" customWidth="1"/>
    <col min="41" max="41" width="4.7109375" bestFit="1" customWidth="1"/>
  </cols>
  <sheetData>
    <row r="1" spans="1:41" s="148" customFormat="1" ht="12" customHeight="1">
      <c r="A1" s="146" t="s">
        <v>343</v>
      </c>
      <c r="B1" s="147"/>
      <c r="C1" s="147"/>
      <c r="D1" s="146"/>
      <c r="E1" s="146">
        <f>DRE!E1</f>
        <v>2025</v>
      </c>
      <c r="F1" s="146">
        <f>DRE!F1</f>
        <v>2026</v>
      </c>
      <c r="G1" s="146">
        <f>DRE!G1</f>
        <v>2027</v>
      </c>
      <c r="H1" s="146">
        <f>DRE!H1</f>
        <v>2028</v>
      </c>
      <c r="I1" s="146">
        <f>DRE!I1</f>
        <v>2029</v>
      </c>
      <c r="J1" s="146">
        <f>DRE!J1</f>
        <v>2030</v>
      </c>
      <c r="K1" s="146">
        <f>DRE!K1</f>
        <v>2031</v>
      </c>
      <c r="L1" s="146">
        <f>DRE!L1</f>
        <v>2032</v>
      </c>
      <c r="M1" s="146">
        <f>DRE!M1</f>
        <v>2033</v>
      </c>
      <c r="N1" s="146">
        <f>DRE!N1</f>
        <v>2034</v>
      </c>
      <c r="O1" s="146">
        <f>DRE!O1</f>
        <v>2035</v>
      </c>
      <c r="P1" s="146">
        <f>DRE!P1</f>
        <v>2036</v>
      </c>
      <c r="Q1" s="146">
        <f>DRE!Q1</f>
        <v>2037</v>
      </c>
      <c r="R1" s="146">
        <f>DRE!R1</f>
        <v>2038</v>
      </c>
      <c r="S1" s="146">
        <f>DRE!S1</f>
        <v>2039</v>
      </c>
      <c r="T1" s="146">
        <f>DRE!T1</f>
        <v>2040</v>
      </c>
      <c r="U1" s="146">
        <f>DRE!U1</f>
        <v>2041</v>
      </c>
      <c r="V1" s="146">
        <f>DRE!V1</f>
        <v>2042</v>
      </c>
      <c r="W1" s="146">
        <f>DRE!W1</f>
        <v>2043</v>
      </c>
      <c r="X1" s="146">
        <f>DRE!X1</f>
        <v>2044</v>
      </c>
      <c r="Y1" s="146">
        <f>DRE!Y1</f>
        <v>2045</v>
      </c>
      <c r="Z1" s="146">
        <f>DRE!Z1</f>
        <v>2046</v>
      </c>
      <c r="AA1" s="146">
        <f>DRE!AA1</f>
        <v>2047</v>
      </c>
      <c r="AB1" s="146">
        <f>DRE!AB1</f>
        <v>2048</v>
      </c>
      <c r="AC1" s="146">
        <f>DRE!AC1</f>
        <v>2049</v>
      </c>
      <c r="AD1" s="146">
        <f>DRE!AD1</f>
        <v>2050</v>
      </c>
      <c r="AE1" s="146">
        <f>DRE!AE1</f>
        <v>2051</v>
      </c>
      <c r="AF1" s="146">
        <f>DRE!AF1</f>
        <v>2052</v>
      </c>
      <c r="AG1" s="146">
        <f>DRE!AG1</f>
        <v>2053</v>
      </c>
      <c r="AH1" s="146">
        <f>DRE!AH1</f>
        <v>2054</v>
      </c>
      <c r="AI1" s="146">
        <f>DRE!AI1</f>
        <v>2055</v>
      </c>
      <c r="AJ1" s="146">
        <f>DRE!AJ1</f>
        <v>2056</v>
      </c>
      <c r="AK1" s="146">
        <f>DRE!AK1</f>
        <v>2057</v>
      </c>
      <c r="AL1" s="146">
        <f>DRE!AL1</f>
        <v>2058</v>
      </c>
      <c r="AM1" s="146">
        <f>DRE!AM1</f>
        <v>2059</v>
      </c>
      <c r="AN1" s="146">
        <f>DRE!AN1</f>
        <v>2060</v>
      </c>
      <c r="AO1" s="157"/>
    </row>
    <row r="2" spans="1:41" s="151" customFormat="1" ht="12" customHeight="1">
      <c r="A2" s="153" t="s">
        <v>107</v>
      </c>
      <c r="B2" s="153"/>
      <c r="C2" s="153"/>
      <c r="D2" s="154"/>
      <c r="E2" s="153">
        <f>DRE!E2</f>
        <v>1</v>
      </c>
      <c r="F2" s="153">
        <f>DRE!F2</f>
        <v>2</v>
      </c>
      <c r="G2" s="153">
        <f>DRE!G2</f>
        <v>3</v>
      </c>
      <c r="H2" s="153">
        <f>DRE!H2</f>
        <v>4</v>
      </c>
      <c r="I2" s="153">
        <f>DRE!I2</f>
        <v>5</v>
      </c>
      <c r="J2" s="153">
        <f>DRE!J2</f>
        <v>6</v>
      </c>
      <c r="K2" s="153">
        <f>DRE!K2</f>
        <v>7</v>
      </c>
      <c r="L2" s="153">
        <f>DRE!L2</f>
        <v>8</v>
      </c>
      <c r="M2" s="153">
        <f>DRE!M2</f>
        <v>9</v>
      </c>
      <c r="N2" s="153">
        <f>DRE!N2</f>
        <v>10</v>
      </c>
      <c r="O2" s="153">
        <f>DRE!O2</f>
        <v>11</v>
      </c>
      <c r="P2" s="153">
        <f>DRE!P2</f>
        <v>12</v>
      </c>
      <c r="Q2" s="153">
        <f>DRE!Q2</f>
        <v>13</v>
      </c>
      <c r="R2" s="153">
        <f>DRE!R2</f>
        <v>14</v>
      </c>
      <c r="S2" s="153">
        <f>DRE!S2</f>
        <v>15</v>
      </c>
      <c r="T2" s="153">
        <f>DRE!T2</f>
        <v>16</v>
      </c>
      <c r="U2" s="153">
        <f>DRE!U2</f>
        <v>17</v>
      </c>
      <c r="V2" s="153">
        <f>DRE!V2</f>
        <v>18</v>
      </c>
      <c r="W2" s="153">
        <f>DRE!W2</f>
        <v>19</v>
      </c>
      <c r="X2" s="153">
        <f>DRE!X2</f>
        <v>20</v>
      </c>
      <c r="Y2" s="153">
        <f>DRE!Y2</f>
        <v>21</v>
      </c>
      <c r="Z2" s="153">
        <f>DRE!Z2</f>
        <v>22</v>
      </c>
      <c r="AA2" s="153">
        <f>DRE!AA2</f>
        <v>23</v>
      </c>
      <c r="AB2" s="153">
        <f>DRE!AB2</f>
        <v>24</v>
      </c>
      <c r="AC2" s="153">
        <f>DRE!AC2</f>
        <v>25</v>
      </c>
      <c r="AD2" s="153">
        <f>DRE!AD2</f>
        <v>26</v>
      </c>
      <c r="AE2" s="153">
        <f>DRE!AE2</f>
        <v>27</v>
      </c>
      <c r="AF2" s="153">
        <f>DRE!AF2</f>
        <v>28</v>
      </c>
      <c r="AG2" s="153">
        <f>DRE!AG2</f>
        <v>29</v>
      </c>
      <c r="AH2" s="153">
        <f>DRE!AH2</f>
        <v>30</v>
      </c>
      <c r="AI2" s="153">
        <f>DRE!AI2</f>
        <v>31</v>
      </c>
      <c r="AJ2" s="153">
        <f>DRE!AJ2</f>
        <v>32</v>
      </c>
      <c r="AK2" s="153">
        <f>DRE!AK2</f>
        <v>33</v>
      </c>
      <c r="AL2" s="153">
        <f>DRE!AL2</f>
        <v>34</v>
      </c>
      <c r="AM2" s="153">
        <f>DRE!AM2</f>
        <v>35</v>
      </c>
      <c r="AN2" s="153">
        <f>DRE!AN2</f>
        <v>36</v>
      </c>
      <c r="AO2" s="149"/>
    </row>
    <row r="3" spans="1:41" s="151" customFormat="1" ht="12" customHeight="1">
      <c r="A3" s="153" t="s">
        <v>108</v>
      </c>
      <c r="B3" s="153"/>
      <c r="C3" s="153"/>
      <c r="D3" s="300"/>
      <c r="E3" s="155">
        <v>0.35</v>
      </c>
      <c r="F3" s="155">
        <f>75%</f>
        <v>0.75</v>
      </c>
      <c r="G3" s="155">
        <f>DRE!G3</f>
        <v>1</v>
      </c>
      <c r="H3" s="155">
        <f>DRE!H3</f>
        <v>1</v>
      </c>
      <c r="I3" s="155">
        <f>DRE!I3</f>
        <v>1</v>
      </c>
      <c r="J3" s="155">
        <f>DRE!J3</f>
        <v>1</v>
      </c>
      <c r="K3" s="155">
        <f>DRE!K3</f>
        <v>1</v>
      </c>
      <c r="L3" s="155">
        <f>DRE!L3</f>
        <v>1</v>
      </c>
      <c r="M3" s="155">
        <f>DRE!M3</f>
        <v>1</v>
      </c>
      <c r="N3" s="155">
        <f>DRE!N3</f>
        <v>1</v>
      </c>
      <c r="O3" s="155">
        <f>DRE!O3</f>
        <v>1</v>
      </c>
      <c r="P3" s="155">
        <f>DRE!P3</f>
        <v>1</v>
      </c>
      <c r="Q3" s="155">
        <f>DRE!Q3</f>
        <v>1</v>
      </c>
      <c r="R3" s="155">
        <f>DRE!R3</f>
        <v>1</v>
      </c>
      <c r="S3" s="155">
        <f>DRE!S3</f>
        <v>1</v>
      </c>
      <c r="T3" s="155">
        <f>DRE!T3</f>
        <v>1</v>
      </c>
      <c r="U3" s="155">
        <f>DRE!U3</f>
        <v>1</v>
      </c>
      <c r="V3" s="155">
        <f>DRE!V3</f>
        <v>1</v>
      </c>
      <c r="W3" s="155">
        <f>DRE!W3</f>
        <v>1</v>
      </c>
      <c r="X3" s="155">
        <f>DRE!X3</f>
        <v>1</v>
      </c>
      <c r="Y3" s="155">
        <f>DRE!Y3</f>
        <v>1</v>
      </c>
      <c r="Z3" s="155">
        <f>DRE!Z3</f>
        <v>1</v>
      </c>
      <c r="AA3" s="155">
        <f>DRE!AA3</f>
        <v>1</v>
      </c>
      <c r="AB3" s="155">
        <f>DRE!AB3</f>
        <v>1</v>
      </c>
      <c r="AC3" s="155">
        <f>DRE!AC3</f>
        <v>1</v>
      </c>
      <c r="AD3" s="155">
        <f>DRE!AD3</f>
        <v>1</v>
      </c>
      <c r="AE3" s="155">
        <f>DRE!AE3</f>
        <v>1</v>
      </c>
      <c r="AF3" s="155">
        <f>DRE!AF3</f>
        <v>1</v>
      </c>
      <c r="AG3" s="155">
        <f>DRE!AG3</f>
        <v>1</v>
      </c>
      <c r="AH3" s="155">
        <f>DRE!AH3</f>
        <v>1</v>
      </c>
      <c r="AI3" s="155">
        <f>DRE!AI3</f>
        <v>0</v>
      </c>
      <c r="AJ3" s="155">
        <f>DRE!AJ3</f>
        <v>0</v>
      </c>
      <c r="AK3" s="155">
        <f>DRE!AK3</f>
        <v>0</v>
      </c>
      <c r="AL3" s="155">
        <f>DRE!AL3</f>
        <v>0</v>
      </c>
      <c r="AM3" s="155">
        <f>DRE!AM3</f>
        <v>0</v>
      </c>
      <c r="AN3" s="155">
        <f>DRE!AN3</f>
        <v>0</v>
      </c>
      <c r="AO3" s="149"/>
    </row>
    <row r="4" spans="1:41" ht="12" customHeight="1">
      <c r="A4" s="56"/>
      <c r="B4" s="58"/>
      <c r="C4" s="58"/>
      <c r="D4" s="60"/>
      <c r="E4" s="36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36"/>
    </row>
    <row r="5" spans="1:41" ht="12" customHeight="1">
      <c r="A5" s="74" t="s">
        <v>344</v>
      </c>
      <c r="B5" s="60"/>
      <c r="C5" s="60"/>
      <c r="D5" s="73"/>
      <c r="E5" s="98"/>
      <c r="F5" s="98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</row>
    <row r="6" spans="1:41" ht="12" customHeight="1">
      <c r="A6" s="74" t="s">
        <v>345</v>
      </c>
      <c r="B6" s="60"/>
      <c r="C6" s="60"/>
      <c r="D6" s="73"/>
      <c r="E6" s="98"/>
      <c r="F6" s="98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</row>
    <row r="7" spans="1:41" ht="12" customHeight="1">
      <c r="A7" s="75"/>
      <c r="B7" s="100" t="s">
        <v>346</v>
      </c>
      <c r="C7" s="612" t="s">
        <v>347</v>
      </c>
      <c r="D7" s="73"/>
      <c r="E7" s="73"/>
      <c r="F7" s="73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99"/>
    </row>
    <row r="8" spans="1:41" ht="12" customHeight="1">
      <c r="A8" s="100" t="s">
        <v>18</v>
      </c>
      <c r="C8" s="301">
        <f>SUM(E8:AH8)</f>
        <v>0</v>
      </c>
      <c r="D8" s="609">
        <f t="shared" ref="D8:D25" si="0">C8/$C$28</f>
        <v>0</v>
      </c>
      <c r="E8" s="73"/>
      <c r="F8" s="33">
        <f>E8*1.025</f>
        <v>0</v>
      </c>
      <c r="G8" s="33">
        <f t="shared" ref="G8:AM8" si="1">F8*1.025</f>
        <v>0</v>
      </c>
      <c r="H8" s="33">
        <f t="shared" si="1"/>
        <v>0</v>
      </c>
      <c r="I8" s="33">
        <f t="shared" si="1"/>
        <v>0</v>
      </c>
      <c r="J8" s="33">
        <f t="shared" si="1"/>
        <v>0</v>
      </c>
      <c r="K8" s="33">
        <f t="shared" si="1"/>
        <v>0</v>
      </c>
      <c r="L8" s="33">
        <f t="shared" si="1"/>
        <v>0</v>
      </c>
      <c r="M8" s="33">
        <f t="shared" si="1"/>
        <v>0</v>
      </c>
      <c r="N8" s="33">
        <f t="shared" si="1"/>
        <v>0</v>
      </c>
      <c r="O8" s="33">
        <f t="shared" si="1"/>
        <v>0</v>
      </c>
      <c r="P8" s="33">
        <f t="shared" si="1"/>
        <v>0</v>
      </c>
      <c r="Q8" s="33">
        <f t="shared" si="1"/>
        <v>0</v>
      </c>
      <c r="R8" s="33">
        <f t="shared" si="1"/>
        <v>0</v>
      </c>
      <c r="S8" s="33">
        <f t="shared" si="1"/>
        <v>0</v>
      </c>
      <c r="T8" s="33">
        <f t="shared" si="1"/>
        <v>0</v>
      </c>
      <c r="U8" s="33">
        <f t="shared" si="1"/>
        <v>0</v>
      </c>
      <c r="V8" s="33">
        <f t="shared" si="1"/>
        <v>0</v>
      </c>
      <c r="W8" s="33">
        <f t="shared" si="1"/>
        <v>0</v>
      </c>
      <c r="X8" s="33">
        <f t="shared" si="1"/>
        <v>0</v>
      </c>
      <c r="Y8" s="33">
        <f t="shared" si="1"/>
        <v>0</v>
      </c>
      <c r="Z8" s="33">
        <f t="shared" si="1"/>
        <v>0</v>
      </c>
      <c r="AA8" s="33">
        <f t="shared" si="1"/>
        <v>0</v>
      </c>
      <c r="AB8" s="33">
        <f t="shared" si="1"/>
        <v>0</v>
      </c>
      <c r="AC8" s="33">
        <f t="shared" si="1"/>
        <v>0</v>
      </c>
      <c r="AD8" s="33">
        <f t="shared" si="1"/>
        <v>0</v>
      </c>
      <c r="AE8" s="33">
        <f t="shared" si="1"/>
        <v>0</v>
      </c>
      <c r="AF8" s="33">
        <f t="shared" si="1"/>
        <v>0</v>
      </c>
      <c r="AG8" s="33">
        <f t="shared" si="1"/>
        <v>0</v>
      </c>
      <c r="AH8" s="33">
        <f t="shared" si="1"/>
        <v>0</v>
      </c>
      <c r="AI8" s="33"/>
      <c r="AJ8" s="33"/>
      <c r="AK8" s="33"/>
      <c r="AL8" s="33">
        <f t="shared" si="1"/>
        <v>0</v>
      </c>
      <c r="AM8" s="33">
        <f t="shared" si="1"/>
        <v>0</v>
      </c>
      <c r="AN8" s="84"/>
      <c r="AO8" s="36"/>
    </row>
    <row r="9" spans="1:41" ht="12" customHeight="1">
      <c r="A9" s="100" t="s">
        <v>22</v>
      </c>
      <c r="B9" s="36"/>
      <c r="C9" s="301">
        <f>SUM(E9:AH9)</f>
        <v>9492.8330059077889</v>
      </c>
      <c r="D9" s="609">
        <f t="shared" si="0"/>
        <v>5.2197135656196582E-2</v>
      </c>
      <c r="E9" s="33">
        <f>IF(Painel!$C$5&gt;=OPEX!E2,($D$83/1000)*E3,0)</f>
        <v>114.17496742500771</v>
      </c>
      <c r="F9" s="33">
        <f>IF(Painel!$C$5&gt;=OPEX!F2,($D$83/1000)*F3,0)</f>
        <v>244.6606444821594</v>
      </c>
      <c r="G9" s="33">
        <f>IF(Painel!$C$5&gt;=OPEX!G2,($D$83/1000)*G3,0)</f>
        <v>326.2141926428792</v>
      </c>
      <c r="H9" s="33">
        <f>IF(Painel!$C$5&gt;=OPEX!H2,($D$83/1000)*H3,0)</f>
        <v>326.2141926428792</v>
      </c>
      <c r="I9" s="33">
        <f>IF(Painel!$C$5&gt;=OPEX!I2,($D$83/1000)*I3,0)</f>
        <v>326.2141926428792</v>
      </c>
      <c r="J9" s="33">
        <f>IF(Painel!$C$5&gt;=OPEX!J2,($D$83/1000)*J3,0)</f>
        <v>326.2141926428792</v>
      </c>
      <c r="K9" s="33">
        <f>IF(Painel!$C$5&gt;=OPEX!K2,($D$83/1000)*K3,0)</f>
        <v>326.2141926428792</v>
      </c>
      <c r="L9" s="33">
        <f>IF(Painel!$C$5&gt;=OPEX!L2,($D$83/1000)*L3,0)</f>
        <v>326.2141926428792</v>
      </c>
      <c r="M9" s="33">
        <f>IF(Painel!$C$5&gt;=OPEX!M2,($D$83/1000)*M3,0)</f>
        <v>326.2141926428792</v>
      </c>
      <c r="N9" s="33">
        <f>IF(Painel!$C$5&gt;=OPEX!N2,($D$83/1000)*N3,0)</f>
        <v>326.2141926428792</v>
      </c>
      <c r="O9" s="33">
        <f>IF(Painel!$C$5&gt;=OPEX!O2,($D$83/1000)*O3,0)</f>
        <v>326.2141926428792</v>
      </c>
      <c r="P9" s="33">
        <f>IF(Painel!$C$5&gt;=OPEX!P2,($D$83/1000)*P3,0)</f>
        <v>326.2141926428792</v>
      </c>
      <c r="Q9" s="33">
        <f>IF(Painel!$C$5&gt;=OPEX!Q2,($D$83/1000)*Q3,0)</f>
        <v>326.2141926428792</v>
      </c>
      <c r="R9" s="33">
        <f>IF(Painel!$C$5&gt;=OPEX!R2,($D$83/1000)*R3,0)</f>
        <v>326.2141926428792</v>
      </c>
      <c r="S9" s="33">
        <f>IF(Painel!$C$5&gt;=OPEX!S2,($D$83/1000)*S3,0)</f>
        <v>326.2141926428792</v>
      </c>
      <c r="T9" s="33">
        <f>IF(Painel!$C$5&gt;=OPEX!T2,($D$83/1000)*T3,0)</f>
        <v>326.2141926428792</v>
      </c>
      <c r="U9" s="33">
        <f>IF(Painel!$C$5&gt;=OPEX!U2,($D$83/1000)*U3,0)</f>
        <v>326.2141926428792</v>
      </c>
      <c r="V9" s="33">
        <f>IF(Painel!$C$5&gt;=OPEX!V2,($D$83/1000)*V3,0)</f>
        <v>326.2141926428792</v>
      </c>
      <c r="W9" s="33">
        <f>IF(Painel!$C$5&gt;=OPEX!W2,($D$83/1000)*W3,0)</f>
        <v>326.2141926428792</v>
      </c>
      <c r="X9" s="33">
        <f>IF(Painel!$C$5&gt;=OPEX!X2,($D$83/1000)*X3,0)</f>
        <v>326.2141926428792</v>
      </c>
      <c r="Y9" s="33">
        <f>IF(Painel!$C$5&gt;=OPEX!Y2,($D$83/1000)*Y3,0)</f>
        <v>326.2141926428792</v>
      </c>
      <c r="Z9" s="33">
        <f>IF(Painel!$C$5&gt;=OPEX!Z2,($D$83/1000)*Z3,0)</f>
        <v>326.2141926428792</v>
      </c>
      <c r="AA9" s="33">
        <f>IF(Painel!$C$5&gt;=OPEX!AA2,($D$83/1000)*AA3,0)</f>
        <v>326.2141926428792</v>
      </c>
      <c r="AB9" s="33">
        <f>IF(Painel!$C$5&gt;=OPEX!AB2,($D$83/1000)*AB3,0)</f>
        <v>326.2141926428792</v>
      </c>
      <c r="AC9" s="33">
        <f>IF(Painel!$C$5&gt;=OPEX!AC2,($D$83/1000)*AC3,0)</f>
        <v>326.2141926428792</v>
      </c>
      <c r="AD9" s="33">
        <f>IF(Painel!$C$5&gt;=OPEX!AD2,($D$83/1000)*AD3,0)</f>
        <v>326.2141926428792</v>
      </c>
      <c r="AE9" s="33">
        <f>IF(Painel!$C$5&gt;=OPEX!AE2,($D$83/1000)*AE3,0)</f>
        <v>326.2141926428792</v>
      </c>
      <c r="AF9" s="33">
        <f>IF(Painel!$C$5&gt;=OPEX!AF2,($D$83/1000)*AF3,0)</f>
        <v>326.2141926428792</v>
      </c>
      <c r="AG9" s="33">
        <f>IF(Painel!$C$5&gt;=OPEX!AG2,($D$83/1000)*AG3,0)</f>
        <v>326.2141926428792</v>
      </c>
      <c r="AH9" s="33">
        <f>IF(Painel!$C$5&gt;=OPEX!AH2,($D$83/1000)*AH3,0)</f>
        <v>326.2141926428792</v>
      </c>
      <c r="AI9" s="33">
        <f>IF(Painel!$C$5&gt;=OPEX!AI2,($D$83/1000)*AI3,0)</f>
        <v>0</v>
      </c>
      <c r="AJ9" s="33">
        <f>IF(Painel!$C$5&gt;=OPEX!AJ2,($D$83/1000)*AJ3,0)</f>
        <v>0</v>
      </c>
      <c r="AK9" s="33">
        <f>IF(Painel!$C$5&gt;=OPEX!AK2,($D$83/1000)*AK3,0)</f>
        <v>0</v>
      </c>
      <c r="AL9" s="33">
        <f>IF(Painel!$C$5&gt;=OPEX!AL2,($D$83/1000)*AL3,0)</f>
        <v>0</v>
      </c>
      <c r="AM9" s="33">
        <f>IF(Painel!$C$5&gt;=OPEX!AM2,($D$83/1000)*AM3,0)</f>
        <v>0</v>
      </c>
      <c r="AN9" s="33">
        <f>IF(Painel!$C$5&gt;=OPEX!AN2,($D$83/1000)*AN3,0)</f>
        <v>0</v>
      </c>
      <c r="AO9" s="33">
        <f>AN83</f>
        <v>0</v>
      </c>
    </row>
    <row r="10" spans="1:41" ht="12" customHeight="1">
      <c r="A10" s="100" t="s">
        <v>26</v>
      </c>
      <c r="B10" s="36"/>
      <c r="C10" s="301">
        <f t="shared" ref="C10:C26" si="2">SUM(E10:AH10)</f>
        <v>4068.9046825601813</v>
      </c>
      <c r="D10" s="609">
        <f t="shared" si="0"/>
        <v>2.2373212459921191E-2</v>
      </c>
      <c r="E10" s="33">
        <f>IF(Painel!$C$5&gt;=OPEX!E2,$D$87/1000*E3,0)</f>
        <v>48.938716113266771</v>
      </c>
      <c r="F10" s="33">
        <f>IF(Painel!$C$5&gt;=OPEX!F2,$D$87/1000*F3,0)</f>
        <v>104.86867738557166</v>
      </c>
      <c r="G10" s="33">
        <f>IF(Painel!$C$5&gt;=OPEX!G2,$D$87/1000*G3,0)</f>
        <v>139.82490318076222</v>
      </c>
      <c r="H10" s="33">
        <f>IF(Painel!$C$5&gt;=OPEX!H2,$D$87/1000*H3,0)</f>
        <v>139.82490318076222</v>
      </c>
      <c r="I10" s="33">
        <f>IF(Painel!$C$5&gt;=OPEX!I2,$D$87/1000*I3,0)</f>
        <v>139.82490318076222</v>
      </c>
      <c r="J10" s="33">
        <f>IF(Painel!$C$5&gt;=OPEX!J2,$D$87/1000*J3,0)</f>
        <v>139.82490318076222</v>
      </c>
      <c r="K10" s="33">
        <f>IF(Painel!$C$5&gt;=OPEX!K2,$D$87/1000*K3,0)</f>
        <v>139.82490318076222</v>
      </c>
      <c r="L10" s="33">
        <f>IF(Painel!$C$5&gt;=OPEX!L2,$D$87/1000*L3,0)</f>
        <v>139.82490318076222</v>
      </c>
      <c r="M10" s="33">
        <f>IF(Painel!$C$5&gt;=OPEX!M2,$D$87/1000*M3,0)</f>
        <v>139.82490318076222</v>
      </c>
      <c r="N10" s="33">
        <f>IF(Painel!$C$5&gt;=OPEX!N2,$D$87/1000*N3,0)</f>
        <v>139.82490318076222</v>
      </c>
      <c r="O10" s="33">
        <f>IF(Painel!$C$5&gt;=OPEX!O2,$D$87/1000*O3,0)</f>
        <v>139.82490318076222</v>
      </c>
      <c r="P10" s="33">
        <f>IF(Painel!$C$5&gt;=OPEX!P2,$D$87/1000*P3,0)</f>
        <v>139.82490318076222</v>
      </c>
      <c r="Q10" s="33">
        <f>IF(Painel!$C$5&gt;=OPEX!Q2,$D$87/1000*Q3,0)</f>
        <v>139.82490318076222</v>
      </c>
      <c r="R10" s="33">
        <f>IF(Painel!$C$5&gt;=OPEX!R2,$D$87/1000*R3,0)</f>
        <v>139.82490318076222</v>
      </c>
      <c r="S10" s="33">
        <f>IF(Painel!$C$5&gt;=OPEX!S2,$D$87/1000*S3,0)</f>
        <v>139.82490318076222</v>
      </c>
      <c r="T10" s="33">
        <f>IF(Painel!$C$5&gt;=OPEX!T2,$D$87/1000*T3,0)</f>
        <v>139.82490318076222</v>
      </c>
      <c r="U10" s="33">
        <f>IF(Painel!$C$5&gt;=OPEX!U2,$D$87/1000*U3,0)</f>
        <v>139.82490318076222</v>
      </c>
      <c r="V10" s="33">
        <f>IF(Painel!$C$5&gt;=OPEX!V2,$D$87/1000*V3,0)</f>
        <v>139.82490318076222</v>
      </c>
      <c r="W10" s="33">
        <f>IF(Painel!$C$5&gt;=OPEX!W2,$D$87/1000*W3,0)</f>
        <v>139.82490318076222</v>
      </c>
      <c r="X10" s="33">
        <f>IF(Painel!$C$5&gt;=OPEX!X2,$D$87/1000*X3,0)</f>
        <v>139.82490318076222</v>
      </c>
      <c r="Y10" s="33">
        <f>IF(Painel!$C$5&gt;=OPEX!Y2,$D$87/1000*Y3,0)</f>
        <v>139.82490318076222</v>
      </c>
      <c r="Z10" s="33">
        <f>IF(Painel!$C$5&gt;=OPEX!Z2,$D$87/1000*Z3,0)</f>
        <v>139.82490318076222</v>
      </c>
      <c r="AA10" s="33">
        <f>IF(Painel!$C$5&gt;=OPEX!AA2,$D$87/1000*AA3,0)</f>
        <v>139.82490318076222</v>
      </c>
      <c r="AB10" s="33">
        <f>IF(Painel!$C$5&gt;=OPEX!AB2,$D$87/1000*AB3,0)</f>
        <v>139.82490318076222</v>
      </c>
      <c r="AC10" s="33">
        <f>IF(Painel!$C$5&gt;=OPEX!AC2,$D$87/1000*AC3,0)</f>
        <v>139.82490318076222</v>
      </c>
      <c r="AD10" s="33">
        <f>IF(Painel!$C$5&gt;=OPEX!AD2,$D$87/1000*AD3,0)</f>
        <v>139.82490318076222</v>
      </c>
      <c r="AE10" s="33">
        <f>IF(Painel!$C$5&gt;=OPEX!AE2,$D$87/1000*AE3,0)</f>
        <v>139.82490318076222</v>
      </c>
      <c r="AF10" s="33">
        <f>IF(Painel!$C$5&gt;=OPEX!AF2,$D$87/1000*AF3,0)</f>
        <v>139.82490318076222</v>
      </c>
      <c r="AG10" s="33">
        <f>IF(Painel!$C$5&gt;=OPEX!AG2,$D$87/1000*AG3,0)</f>
        <v>139.82490318076222</v>
      </c>
      <c r="AH10" s="33">
        <f>IF(Painel!$C$5&gt;=OPEX!AH2,$D$87/1000*AH3,0)</f>
        <v>139.82490318076222</v>
      </c>
      <c r="AI10" s="33">
        <f>IF(Painel!$C$5&gt;=OPEX!AI2,$D$87/1000*AI3,0)</f>
        <v>0</v>
      </c>
      <c r="AJ10" s="33">
        <f>IF(Painel!$C$5&gt;=OPEX!AJ2,$D$87/1000*AJ3,0)</f>
        <v>0</v>
      </c>
      <c r="AK10" s="33">
        <f>IF(Painel!$C$5&gt;=OPEX!AK2,$D$87/1000*AK3,0)</f>
        <v>0</v>
      </c>
      <c r="AL10" s="33">
        <f>IF(Painel!$C$5&gt;=OPEX!AL2,$D$87/1000*AL3,0)</f>
        <v>0</v>
      </c>
      <c r="AM10" s="33">
        <f>IF(Painel!$C$5&gt;=OPEX!AM2,$D$87/1000*AM3,0)</f>
        <v>0</v>
      </c>
      <c r="AN10" s="33">
        <f>IF(Painel!$C$5&gt;=OPEX!AN2,$D$87/1000*AN3,0)</f>
        <v>0</v>
      </c>
      <c r="AO10" s="36"/>
    </row>
    <row r="11" spans="1:41" ht="12" customHeight="1">
      <c r="A11" s="100" t="s">
        <v>30</v>
      </c>
      <c r="B11" s="36"/>
      <c r="C11" s="301">
        <f t="shared" si="2"/>
        <v>1991.729655056469</v>
      </c>
      <c r="D11" s="609">
        <f t="shared" si="0"/>
        <v>1.0951691969167883E-2</v>
      </c>
      <c r="E11" s="33">
        <f>IF(Painel!$C$5&gt;=OPEX!E2,$D$91/1000*E3,0)</f>
        <v>23.955511315112158</v>
      </c>
      <c r="F11" s="33">
        <f>IF(Painel!$C$5&gt;=OPEX!F2,$D$91/1000*F3,0)</f>
        <v>51.333238532383206</v>
      </c>
      <c r="G11" s="33">
        <f>IF(Painel!$C$5&gt;=OPEX!G2,$D$91/1000*G3,0)</f>
        <v>68.444318043177603</v>
      </c>
      <c r="H11" s="33">
        <f>IF(Painel!$C$5&gt;=OPEX!H2,$D$91/1000*H3,0)</f>
        <v>68.444318043177603</v>
      </c>
      <c r="I11" s="33">
        <f>IF(Painel!$C$5&gt;=OPEX!I2,$D$91/1000*I3,0)</f>
        <v>68.444318043177603</v>
      </c>
      <c r="J11" s="33">
        <f>IF(Painel!$C$5&gt;=OPEX!J2,$D$91/1000*J3,0)</f>
        <v>68.444318043177603</v>
      </c>
      <c r="K11" s="33">
        <f>IF(Painel!$C$5&gt;=OPEX!K2,$D$91/1000*K3,0)</f>
        <v>68.444318043177603</v>
      </c>
      <c r="L11" s="33">
        <f>IF(Painel!$C$5&gt;=OPEX!L2,$D$91/1000*L3,0)</f>
        <v>68.444318043177603</v>
      </c>
      <c r="M11" s="33">
        <f>IF(Painel!$C$5&gt;=OPEX!M2,$D$91/1000*M3,0)</f>
        <v>68.444318043177603</v>
      </c>
      <c r="N11" s="33">
        <f>IF(Painel!$C$5&gt;=OPEX!N2,$D$91/1000*N3,0)</f>
        <v>68.444318043177603</v>
      </c>
      <c r="O11" s="33">
        <f>IF(Painel!$C$5&gt;=OPEX!O2,$D$91/1000*O3,0)</f>
        <v>68.444318043177603</v>
      </c>
      <c r="P11" s="33">
        <f>IF(Painel!$C$5&gt;=OPEX!P2,$D$91/1000*P3,0)</f>
        <v>68.444318043177603</v>
      </c>
      <c r="Q11" s="33">
        <f>IF(Painel!$C$5&gt;=OPEX!Q2,$D$91/1000*Q3,0)</f>
        <v>68.444318043177603</v>
      </c>
      <c r="R11" s="33">
        <f>IF(Painel!$C$5&gt;=OPEX!R2,$D$91/1000*R3,0)</f>
        <v>68.444318043177603</v>
      </c>
      <c r="S11" s="33">
        <f>IF(Painel!$C$5&gt;=OPEX!S2,$D$91/1000*S3,0)</f>
        <v>68.444318043177603</v>
      </c>
      <c r="T11" s="33">
        <f>IF(Painel!$C$5&gt;=OPEX!T2,$D$91/1000*T3,0)</f>
        <v>68.444318043177603</v>
      </c>
      <c r="U11" s="33">
        <f>IF(Painel!$C$5&gt;=OPEX!U2,$D$91/1000*U3,0)</f>
        <v>68.444318043177603</v>
      </c>
      <c r="V11" s="33">
        <f>IF(Painel!$C$5&gt;=OPEX!V2,$D$91/1000*V3,0)</f>
        <v>68.444318043177603</v>
      </c>
      <c r="W11" s="33">
        <f>IF(Painel!$C$5&gt;=OPEX!W2,$D$91/1000*W3,0)</f>
        <v>68.444318043177603</v>
      </c>
      <c r="X11" s="33">
        <f>IF(Painel!$C$5&gt;=OPEX!X2,$D$91/1000*X3,0)</f>
        <v>68.444318043177603</v>
      </c>
      <c r="Y11" s="33">
        <f>IF(Painel!$C$5&gt;=OPEX!Y2,$D$91/1000*Y3,0)</f>
        <v>68.444318043177603</v>
      </c>
      <c r="Z11" s="33">
        <f>IF(Painel!$C$5&gt;=OPEX!Z2,$D$91/1000*Z3,0)</f>
        <v>68.444318043177603</v>
      </c>
      <c r="AA11" s="33">
        <f>IF(Painel!$C$5&gt;=OPEX!AA2,$D$91/1000*AA3,0)</f>
        <v>68.444318043177603</v>
      </c>
      <c r="AB11" s="33">
        <f>IF(Painel!$C$5&gt;=OPEX!AB2,$D$91/1000*AB3,0)</f>
        <v>68.444318043177603</v>
      </c>
      <c r="AC11" s="33">
        <f>IF(Painel!$C$5&gt;=OPEX!AC2,$D$91/1000*AC3,0)</f>
        <v>68.444318043177603</v>
      </c>
      <c r="AD11" s="33">
        <f>IF(Painel!$C$5&gt;=OPEX!AD2,$D$91/1000*AD3,0)</f>
        <v>68.444318043177603</v>
      </c>
      <c r="AE11" s="33">
        <f>IF(Painel!$C$5&gt;=OPEX!AE2,$D$91/1000*AE3,0)</f>
        <v>68.444318043177603</v>
      </c>
      <c r="AF11" s="33">
        <f>IF(Painel!$C$5&gt;=OPEX!AF2,$D$91/1000*AF3,0)</f>
        <v>68.444318043177603</v>
      </c>
      <c r="AG11" s="33">
        <f>IF(Painel!$C$5&gt;=OPEX!AG2,$D$91/1000*AG3,0)</f>
        <v>68.444318043177603</v>
      </c>
      <c r="AH11" s="33">
        <f>IF(Painel!$C$5&gt;=OPEX!AH2,$D$91/1000*AH3,0)</f>
        <v>68.444318043177603</v>
      </c>
      <c r="AI11" s="33">
        <f>IF(Painel!$C$5&gt;=OPEX!AI2,$D$91/1000*AI3,0)</f>
        <v>0</v>
      </c>
      <c r="AJ11" s="33">
        <f>IF(Painel!$C$5&gt;=OPEX!AJ2,$D$91/1000*AJ3,0)</f>
        <v>0</v>
      </c>
      <c r="AK11" s="33">
        <f>IF(Painel!$C$5&gt;=OPEX!AK2,$D$91/1000*AK3,0)</f>
        <v>0</v>
      </c>
      <c r="AL11" s="33">
        <f>IF(Painel!$C$5&gt;=OPEX!AL2,$D$91/1000*AL3,0)</f>
        <v>0</v>
      </c>
      <c r="AM11" s="33">
        <f>IF(Painel!$C$5&gt;=OPEX!AM2,$D$91/1000*AM3,0)</f>
        <v>0</v>
      </c>
      <c r="AN11" s="33">
        <f>IF(Painel!$C$5&gt;=OPEX!AN2,$D$91/1000*AN3,0)</f>
        <v>0</v>
      </c>
      <c r="AO11" s="36"/>
    </row>
    <row r="12" spans="1:41" ht="12" customHeight="1">
      <c r="A12" s="100" t="s">
        <v>35</v>
      </c>
      <c r="B12" s="36"/>
      <c r="C12" s="301">
        <f t="shared" si="2"/>
        <v>8123.1158508513136</v>
      </c>
      <c r="D12" s="609">
        <f t="shared" si="0"/>
        <v>4.4665631403608561E-2</v>
      </c>
      <c r="E12" s="33">
        <f>IF(Painel!$C$5&gt;=OPEX!E2,$D$95/1000*E3,0)</f>
        <v>97.700706109895563</v>
      </c>
      <c r="F12" s="33">
        <f>IF(Painel!$C$5&gt;=OPEX!F2,$D$95/1000*F3,0)</f>
        <v>209.35865594977622</v>
      </c>
      <c r="G12" s="33">
        <f>IF(Painel!$C$5&gt;=OPEX!G2,$D$95/1000*G3,0)</f>
        <v>279.14487459970161</v>
      </c>
      <c r="H12" s="33">
        <f>IF(Painel!$C$5&gt;=OPEX!H2,$D$95/1000*H3,0)</f>
        <v>279.14487459970161</v>
      </c>
      <c r="I12" s="33">
        <f>IF(Painel!$C$5&gt;=OPEX!I2,$D$95/1000*I3,0)</f>
        <v>279.14487459970161</v>
      </c>
      <c r="J12" s="33">
        <f>IF(Painel!$C$5&gt;=OPEX!J2,$D$95/1000*J3,0)</f>
        <v>279.14487459970161</v>
      </c>
      <c r="K12" s="33">
        <f>IF(Painel!$C$5&gt;=OPEX!K2,$D$95/1000*K3,0)</f>
        <v>279.14487459970161</v>
      </c>
      <c r="L12" s="33">
        <f>IF(Painel!$C$5&gt;=OPEX!L2,$D$95/1000*L3,0)</f>
        <v>279.14487459970161</v>
      </c>
      <c r="M12" s="33">
        <f>IF(Painel!$C$5&gt;=OPEX!M2,$D$95/1000*M3,0)</f>
        <v>279.14487459970161</v>
      </c>
      <c r="N12" s="33">
        <f>IF(Painel!$C$5&gt;=OPEX!N2,$D$95/1000*N3,0)</f>
        <v>279.14487459970161</v>
      </c>
      <c r="O12" s="33">
        <f>IF(Painel!$C$5&gt;=OPEX!O2,$D$95/1000*O3,0)</f>
        <v>279.14487459970161</v>
      </c>
      <c r="P12" s="33">
        <f>IF(Painel!$C$5&gt;=OPEX!P2,$D$95/1000*P3,0)</f>
        <v>279.14487459970161</v>
      </c>
      <c r="Q12" s="33">
        <f>IF(Painel!$C$5&gt;=OPEX!Q2,$D$95/1000*Q3,0)</f>
        <v>279.14487459970161</v>
      </c>
      <c r="R12" s="33">
        <f>IF(Painel!$C$5&gt;=OPEX!R2,$D$95/1000*R3,0)</f>
        <v>279.14487459970161</v>
      </c>
      <c r="S12" s="33">
        <f>IF(Painel!$C$5&gt;=OPEX!S2,$D$95/1000*S3,0)</f>
        <v>279.14487459970161</v>
      </c>
      <c r="T12" s="33">
        <f>IF(Painel!$C$5&gt;=OPEX!T2,$D$95/1000*T3,0)</f>
        <v>279.14487459970161</v>
      </c>
      <c r="U12" s="33">
        <f>IF(Painel!$C$5&gt;=OPEX!U2,$D$95/1000*U3,0)</f>
        <v>279.14487459970161</v>
      </c>
      <c r="V12" s="33">
        <f>IF(Painel!$C$5&gt;=OPEX!V2,$D$95/1000*V3,0)</f>
        <v>279.14487459970161</v>
      </c>
      <c r="W12" s="33">
        <f>IF(Painel!$C$5&gt;=OPEX!W2,$D$95/1000*W3,0)</f>
        <v>279.14487459970161</v>
      </c>
      <c r="X12" s="33">
        <f>IF(Painel!$C$5&gt;=OPEX!X2,$D$95/1000*X3,0)</f>
        <v>279.14487459970161</v>
      </c>
      <c r="Y12" s="33">
        <f>IF(Painel!$C$5&gt;=OPEX!Y2,$D$95/1000*Y3,0)</f>
        <v>279.14487459970161</v>
      </c>
      <c r="Z12" s="33">
        <f>IF(Painel!$C$5&gt;=OPEX!Z2,$D$95/1000*Z3,0)</f>
        <v>279.14487459970161</v>
      </c>
      <c r="AA12" s="33">
        <f>IF(Painel!$C$5&gt;=OPEX!AA2,$D$95/1000*AA3,0)</f>
        <v>279.14487459970161</v>
      </c>
      <c r="AB12" s="33">
        <f>IF(Painel!$C$5&gt;=OPEX!AB2,$D$95/1000*AB3,0)</f>
        <v>279.14487459970161</v>
      </c>
      <c r="AC12" s="33">
        <f>IF(Painel!$C$5&gt;=OPEX!AC2,$D$95/1000*AC3,0)</f>
        <v>279.14487459970161</v>
      </c>
      <c r="AD12" s="33">
        <f>IF(Painel!$C$5&gt;=OPEX!AD2,$D$95/1000*AD3,0)</f>
        <v>279.14487459970161</v>
      </c>
      <c r="AE12" s="33">
        <f>IF(Painel!$C$5&gt;=OPEX!AE2,$D$95/1000*AE3,0)</f>
        <v>279.14487459970161</v>
      </c>
      <c r="AF12" s="33">
        <f>IF(Painel!$C$5&gt;=OPEX!AF2,$D$95/1000*AF3,0)</f>
        <v>279.14487459970161</v>
      </c>
      <c r="AG12" s="33">
        <f>IF(Painel!$C$5&gt;=OPEX!AG2,$D$95/1000*AG3,0)</f>
        <v>279.14487459970161</v>
      </c>
      <c r="AH12" s="33">
        <f>IF(Painel!$C$5&gt;=OPEX!AH2,$D$95/1000*AH3,0)</f>
        <v>279.14487459970161</v>
      </c>
      <c r="AI12" s="33">
        <f>IF(Painel!$C$5&gt;=OPEX!AI2,$D$95/1000*AI3,0)</f>
        <v>0</v>
      </c>
      <c r="AJ12" s="33">
        <f>IF(Painel!$C$5&gt;=OPEX!AJ2,$D$95/1000*AJ3,0)</f>
        <v>0</v>
      </c>
      <c r="AK12" s="33">
        <f>IF(Painel!$C$5&gt;=OPEX!AK2,$D$95/1000*AK3,0)</f>
        <v>0</v>
      </c>
      <c r="AL12" s="33">
        <f>IF(Painel!$C$5&gt;=OPEX!AL2,$D$95/1000*AL3,0)</f>
        <v>0</v>
      </c>
      <c r="AM12" s="33">
        <f>IF(Painel!$C$5&gt;=OPEX!AM2,$D$95/1000*AM3,0)</f>
        <v>0</v>
      </c>
      <c r="AN12" s="33">
        <f>IF(Painel!$C$5&gt;=OPEX!AN2,$D$95/1000*AN3,0)</f>
        <v>0</v>
      </c>
      <c r="AO12" s="36"/>
    </row>
    <row r="13" spans="1:41" ht="12" customHeight="1">
      <c r="A13" s="100" t="s">
        <v>41</v>
      </c>
      <c r="B13" s="36"/>
      <c r="C13" s="301">
        <f t="shared" si="2"/>
        <v>4895.9755672342126</v>
      </c>
      <c r="D13" s="609">
        <f t="shared" si="0"/>
        <v>2.6920930842595149E-2</v>
      </c>
      <c r="E13" s="33">
        <f>IF(Painel!$C$5&gt;=OPEX!E2,$D$99/1000*E3,0)</f>
        <v>58.886304073263702</v>
      </c>
      <c r="F13" s="33">
        <f>IF(Painel!$C$5&gt;=OPEX!F2,$D$99/1000*F3,0)</f>
        <v>126.1849372998508</v>
      </c>
      <c r="G13" s="33">
        <f>IF(Painel!$C$5&gt;=OPEX!G2,$D$99/1000*G3,0)</f>
        <v>168.24658306646774</v>
      </c>
      <c r="H13" s="33">
        <f>IF(Painel!$C$5&gt;=OPEX!H2,$D$99/1000*H3,0)</f>
        <v>168.24658306646774</v>
      </c>
      <c r="I13" s="33">
        <f>IF(Painel!$C$5&gt;=OPEX!I2,$D$99/1000*I3,0)</f>
        <v>168.24658306646774</v>
      </c>
      <c r="J13" s="33">
        <f>IF(Painel!$C$5&gt;=OPEX!J2,$D$99/1000*J3,0)</f>
        <v>168.24658306646774</v>
      </c>
      <c r="K13" s="33">
        <f>IF(Painel!$C$5&gt;=OPEX!K2,$D$99/1000*K3,0)</f>
        <v>168.24658306646774</v>
      </c>
      <c r="L13" s="33">
        <f>IF(Painel!$C$5&gt;=OPEX!L2,$D$99/1000*L3,0)</f>
        <v>168.24658306646774</v>
      </c>
      <c r="M13" s="33">
        <f>IF(Painel!$C$5&gt;=OPEX!M2,$D$99/1000*M3,0)</f>
        <v>168.24658306646774</v>
      </c>
      <c r="N13" s="33">
        <f>IF(Painel!$C$5&gt;=OPEX!N2,$D$99/1000*N3,0)</f>
        <v>168.24658306646774</v>
      </c>
      <c r="O13" s="33">
        <f>IF(Painel!$C$5&gt;=OPEX!O2,$D$99/1000*O3,0)</f>
        <v>168.24658306646774</v>
      </c>
      <c r="P13" s="33">
        <f>IF(Painel!$C$5&gt;=OPEX!P2,$D$99/1000*P3,0)</f>
        <v>168.24658306646774</v>
      </c>
      <c r="Q13" s="33">
        <f>IF(Painel!$C$5&gt;=OPEX!Q2,$D$99/1000*Q3,0)</f>
        <v>168.24658306646774</v>
      </c>
      <c r="R13" s="33">
        <f>IF(Painel!$C$5&gt;=OPEX!R2,$D$99/1000*R3,0)</f>
        <v>168.24658306646774</v>
      </c>
      <c r="S13" s="33">
        <f>IF(Painel!$C$5&gt;=OPEX!S2,$D$99/1000*S3,0)</f>
        <v>168.24658306646774</v>
      </c>
      <c r="T13" s="33">
        <f>IF(Painel!$C$5&gt;=OPEX!T2,$D$99/1000*T3,0)</f>
        <v>168.24658306646774</v>
      </c>
      <c r="U13" s="33">
        <f>IF(Painel!$C$5&gt;=OPEX!U2,$D$99/1000*U3,0)</f>
        <v>168.24658306646774</v>
      </c>
      <c r="V13" s="33">
        <f>IF(Painel!$C$5&gt;=OPEX!V2,$D$99/1000*V3,0)</f>
        <v>168.24658306646774</v>
      </c>
      <c r="W13" s="33">
        <f>IF(Painel!$C$5&gt;=OPEX!W2,$D$99/1000*W3,0)</f>
        <v>168.24658306646774</v>
      </c>
      <c r="X13" s="33">
        <f>IF(Painel!$C$5&gt;=OPEX!X2,$D$99/1000*X3,0)</f>
        <v>168.24658306646774</v>
      </c>
      <c r="Y13" s="33">
        <f>IF(Painel!$C$5&gt;=OPEX!Y2,$D$99/1000*Y3,0)</f>
        <v>168.24658306646774</v>
      </c>
      <c r="Z13" s="33">
        <f>IF(Painel!$C$5&gt;=OPEX!Z2,$D$99/1000*Z3,0)</f>
        <v>168.24658306646774</v>
      </c>
      <c r="AA13" s="33">
        <f>IF(Painel!$C$5&gt;=OPEX!AA2,$D$99/1000*AA3,0)</f>
        <v>168.24658306646774</v>
      </c>
      <c r="AB13" s="33">
        <f>IF(Painel!$C$5&gt;=OPEX!AB2,$D$99/1000*AB3,0)</f>
        <v>168.24658306646774</v>
      </c>
      <c r="AC13" s="33">
        <f>IF(Painel!$C$5&gt;=OPEX!AC2,$D$99/1000*AC3,0)</f>
        <v>168.24658306646774</v>
      </c>
      <c r="AD13" s="33">
        <f>IF(Painel!$C$5&gt;=OPEX!AD2,$D$99/1000*AD3,0)</f>
        <v>168.24658306646774</v>
      </c>
      <c r="AE13" s="33">
        <f>IF(Painel!$C$5&gt;=OPEX!AE2,$D$99/1000*AE3,0)</f>
        <v>168.24658306646774</v>
      </c>
      <c r="AF13" s="33">
        <f>IF(Painel!$C$5&gt;=OPEX!AF2,$D$99/1000*AF3,0)</f>
        <v>168.24658306646774</v>
      </c>
      <c r="AG13" s="33">
        <f>IF(Painel!$C$5&gt;=OPEX!AG2,$D$99/1000*AG3,0)</f>
        <v>168.24658306646774</v>
      </c>
      <c r="AH13" s="33">
        <f>IF(Painel!$C$5&gt;=OPEX!AH2,$D$99/1000*AH3,0)</f>
        <v>168.24658306646774</v>
      </c>
      <c r="AI13" s="33">
        <f>IF(Painel!$C$5&gt;=OPEX!AI2,$D$99/1000*AI3,0)</f>
        <v>0</v>
      </c>
      <c r="AJ13" s="33">
        <f>IF(Painel!$C$5&gt;=OPEX!AJ2,$D$99/1000*AJ3,0)</f>
        <v>0</v>
      </c>
      <c r="AK13" s="33">
        <f>IF(Painel!$C$5&gt;=OPEX!AK2,$D$99/1000*AK3,0)</f>
        <v>0</v>
      </c>
      <c r="AL13" s="33">
        <f>IF(Painel!$C$5&gt;=OPEX!AL2,$D$99/1000*AL3,0)</f>
        <v>0</v>
      </c>
      <c r="AM13" s="33">
        <f>IF(Painel!$C$5&gt;=OPEX!AM2,$D$99/1000*AM3,0)</f>
        <v>0</v>
      </c>
      <c r="AN13" s="33">
        <f>IF(Painel!$C$5&gt;=OPEX!AN2,$D$99/1000*AN3,0)</f>
        <v>0</v>
      </c>
      <c r="AO13" s="36"/>
    </row>
    <row r="14" spans="1:41" ht="12" customHeight="1">
      <c r="A14" s="100" t="s">
        <v>45</v>
      </c>
      <c r="B14" s="36"/>
      <c r="C14" s="301">
        <f t="shared" si="2"/>
        <v>0</v>
      </c>
      <c r="D14" s="609">
        <f t="shared" si="0"/>
        <v>0</v>
      </c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84"/>
      <c r="AO14" s="36"/>
    </row>
    <row r="15" spans="1:41" ht="12" customHeight="1">
      <c r="A15" s="100" t="s">
        <v>49</v>
      </c>
      <c r="B15" s="36"/>
      <c r="C15" s="301">
        <f t="shared" si="2"/>
        <v>5637.2316840223602</v>
      </c>
      <c r="D15" s="609">
        <f t="shared" si="0"/>
        <v>3.0996789551991717E-2</v>
      </c>
      <c r="E15" s="33">
        <f>IF(Painel!$C$5&gt;=OPEX!E2,$D$107/1000*E3,0)</f>
        <v>67.801755649753474</v>
      </c>
      <c r="F15" s="33">
        <f>IF(Painel!$C$5&gt;=OPEX!F2,$D$107/1000*F3,0)</f>
        <v>145.28947639232888</v>
      </c>
      <c r="G15" s="33">
        <f>IF(Painel!$C$5&gt;=OPEX!G2,$D$107/1000*G3,0)</f>
        <v>193.71930185643851</v>
      </c>
      <c r="H15" s="33">
        <f>IF(Painel!$C$5&gt;=OPEX!H2,$D$107/1000*H3,0)</f>
        <v>193.71930185643851</v>
      </c>
      <c r="I15" s="33">
        <f>IF(Painel!$C$5&gt;=OPEX!I2,$D$107/1000*I3,0)</f>
        <v>193.71930185643851</v>
      </c>
      <c r="J15" s="33">
        <f>IF(Painel!$C$5&gt;=OPEX!J2,$D$107/1000*J3,0)</f>
        <v>193.71930185643851</v>
      </c>
      <c r="K15" s="33">
        <f>IF(Painel!$C$5&gt;=OPEX!K2,$D$107/1000*K3,0)</f>
        <v>193.71930185643851</v>
      </c>
      <c r="L15" s="33">
        <f>IF(Painel!$C$5&gt;=OPEX!L2,$D$107/1000*L3,0)</f>
        <v>193.71930185643851</v>
      </c>
      <c r="M15" s="33">
        <f>IF(Painel!$C$5&gt;=OPEX!M2,$D$107/1000*M3,0)</f>
        <v>193.71930185643851</v>
      </c>
      <c r="N15" s="33">
        <f>IF(Painel!$C$5&gt;=OPEX!N2,$D$107/1000*N3,0)</f>
        <v>193.71930185643851</v>
      </c>
      <c r="O15" s="33">
        <f>IF(Painel!$C$5&gt;=OPEX!O2,$D$107/1000*O3,0)</f>
        <v>193.71930185643851</v>
      </c>
      <c r="P15" s="33">
        <f>IF(Painel!$C$5&gt;=OPEX!P2,$D$107/1000*P3,0)</f>
        <v>193.71930185643851</v>
      </c>
      <c r="Q15" s="33">
        <f>IF(Painel!$C$5&gt;=OPEX!Q2,$D$107/1000*Q3,0)</f>
        <v>193.71930185643851</v>
      </c>
      <c r="R15" s="33">
        <f>IF(Painel!$C$5&gt;=OPEX!R2,$D$107/1000*R3,0)</f>
        <v>193.71930185643851</v>
      </c>
      <c r="S15" s="33">
        <f>IF(Painel!$C$5&gt;=OPEX!S2,$D$107/1000*S3,0)</f>
        <v>193.71930185643851</v>
      </c>
      <c r="T15" s="33">
        <f>IF(Painel!$C$5&gt;=OPEX!T2,$D$107/1000*T3,0)</f>
        <v>193.71930185643851</v>
      </c>
      <c r="U15" s="33">
        <f>IF(Painel!$C$5&gt;=OPEX!U2,$D$107/1000*U3,0)</f>
        <v>193.71930185643851</v>
      </c>
      <c r="V15" s="33">
        <f>IF(Painel!$C$5&gt;=OPEX!V2,$D$107/1000*V3,0)</f>
        <v>193.71930185643851</v>
      </c>
      <c r="W15" s="33">
        <f>IF(Painel!$C$5&gt;=OPEX!W2,$D$107/1000*W3,0)</f>
        <v>193.71930185643851</v>
      </c>
      <c r="X15" s="33">
        <f>IF(Painel!$C$5&gt;=OPEX!X2,$D$107/1000*X3,0)</f>
        <v>193.71930185643851</v>
      </c>
      <c r="Y15" s="33">
        <f>IF(Painel!$C$5&gt;=OPEX!Y2,$D$107/1000*Y3,0)</f>
        <v>193.71930185643851</v>
      </c>
      <c r="Z15" s="33">
        <f>IF(Painel!$C$5&gt;=OPEX!Z2,$D$107/1000*Z3,0)</f>
        <v>193.71930185643851</v>
      </c>
      <c r="AA15" s="33">
        <f>IF(Painel!$C$5&gt;=OPEX!AA2,$D$107/1000*AA3,0)</f>
        <v>193.71930185643851</v>
      </c>
      <c r="AB15" s="33">
        <f>IF(Painel!$C$5&gt;=OPEX!AB2,$D$107/1000*AB3,0)</f>
        <v>193.71930185643851</v>
      </c>
      <c r="AC15" s="33">
        <f>IF(Painel!$C$5&gt;=OPEX!AC2,$D$107/1000*AC3,0)</f>
        <v>193.71930185643851</v>
      </c>
      <c r="AD15" s="33">
        <f>IF(Painel!$C$5&gt;=OPEX!AD2,$D$107/1000*AD3,0)</f>
        <v>193.71930185643851</v>
      </c>
      <c r="AE15" s="33">
        <f>IF(Painel!$C$5&gt;=OPEX!AE2,$D$107/1000*AE3,0)</f>
        <v>193.71930185643851</v>
      </c>
      <c r="AF15" s="33">
        <f>IF(Painel!$C$5&gt;=OPEX!AF2,$D$107/1000*AF3,0)</f>
        <v>193.71930185643851</v>
      </c>
      <c r="AG15" s="33">
        <f>IF(Painel!$C$5&gt;=OPEX!AG2,$D$107/1000*AG3,0)</f>
        <v>193.71930185643851</v>
      </c>
      <c r="AH15" s="33">
        <f>IF(Painel!$C$5&gt;=OPEX!AH2,$D$107/1000*AH3,0)</f>
        <v>193.71930185643851</v>
      </c>
      <c r="AI15" s="33">
        <f>IF(Painel!$C$5&gt;=OPEX!AI2,$D$107/1000*AI3,0)</f>
        <v>0</v>
      </c>
      <c r="AJ15" s="33">
        <f>IF(Painel!$C$5&gt;=OPEX!AJ2,$D$107/1000*AJ3,0)</f>
        <v>0</v>
      </c>
      <c r="AK15" s="33">
        <f>IF(Painel!$C$5&gt;=OPEX!AK2,$D$107/1000*AK3,0)</f>
        <v>0</v>
      </c>
      <c r="AL15" s="33">
        <f>IF(Painel!$C$5&gt;=OPEX!AL2,$D$107/1000*AL3,0)</f>
        <v>0</v>
      </c>
      <c r="AM15" s="33">
        <f>IF(Painel!$C$5&gt;=OPEX!AM2,$D$107/1000*AM3,0)</f>
        <v>0</v>
      </c>
      <c r="AN15" s="33">
        <f>IF(Painel!$C$5&gt;=OPEX!AN2,$D$107/1000*AN3,0)</f>
        <v>0</v>
      </c>
      <c r="AO15" s="36"/>
    </row>
    <row r="16" spans="1:41" ht="12" customHeight="1">
      <c r="A16" s="100" t="s">
        <v>52</v>
      </c>
      <c r="B16" s="36"/>
      <c r="C16" s="301">
        <f t="shared" si="2"/>
        <v>2825.1892565442008</v>
      </c>
      <c r="D16" s="609">
        <f t="shared" si="0"/>
        <v>1.5534539245185504E-2</v>
      </c>
      <c r="E16" s="33">
        <f>IF(Painel!$C$5&gt;=OPEX!E2,$D$111/1000*E3,0)</f>
        <v>33.979939511700003</v>
      </c>
      <c r="F16" s="33">
        <f>IF(Painel!$C$5&gt;=OPEX!F2,$D$111/1000*F3,0)</f>
        <v>72.8141560965</v>
      </c>
      <c r="G16" s="33">
        <f>IF(Painel!$C$5&gt;=OPEX!G2,$D$111/1000*G3,0)</f>
        <v>97.085541462000009</v>
      </c>
      <c r="H16" s="33">
        <f>IF(Painel!$C$5&gt;=OPEX!H2,$D$111/1000*H3,0)</f>
        <v>97.085541462000009</v>
      </c>
      <c r="I16" s="33">
        <f>IF(Painel!$C$5&gt;=OPEX!I2,$D$111/1000*I3,0)</f>
        <v>97.085541462000009</v>
      </c>
      <c r="J16" s="33">
        <f>IF(Painel!$C$5&gt;=OPEX!J2,$D$111/1000*J3,0)</f>
        <v>97.085541462000009</v>
      </c>
      <c r="K16" s="33">
        <f>IF(Painel!$C$5&gt;=OPEX!K2,$D$111/1000*K3,0)</f>
        <v>97.085541462000009</v>
      </c>
      <c r="L16" s="33">
        <f>IF(Painel!$C$5&gt;=OPEX!L2,$D$111/1000*L3,0)</f>
        <v>97.085541462000009</v>
      </c>
      <c r="M16" s="33">
        <f>IF(Painel!$C$5&gt;=OPEX!M2,$D$111/1000*M3,0)</f>
        <v>97.085541462000009</v>
      </c>
      <c r="N16" s="33">
        <f>IF(Painel!$C$5&gt;=OPEX!N2,$D$111/1000*N3,0)</f>
        <v>97.085541462000009</v>
      </c>
      <c r="O16" s="33">
        <f>IF(Painel!$C$5&gt;=OPEX!O2,$D$111/1000*O3,0)</f>
        <v>97.085541462000009</v>
      </c>
      <c r="P16" s="33">
        <f>IF(Painel!$C$5&gt;=OPEX!P2,$D$111/1000*P3,0)</f>
        <v>97.085541462000009</v>
      </c>
      <c r="Q16" s="33">
        <f>IF(Painel!$C$5&gt;=OPEX!Q2,$D$111/1000*Q3,0)</f>
        <v>97.085541462000009</v>
      </c>
      <c r="R16" s="33">
        <f>IF(Painel!$C$5&gt;=OPEX!R2,$D$111/1000*R3,0)</f>
        <v>97.085541462000009</v>
      </c>
      <c r="S16" s="33">
        <f>IF(Painel!$C$5&gt;=OPEX!S2,$D$111/1000*S3,0)</f>
        <v>97.085541462000009</v>
      </c>
      <c r="T16" s="33">
        <f>IF(Painel!$C$5&gt;=OPEX!T2,$D$111/1000*T3,0)</f>
        <v>97.085541462000009</v>
      </c>
      <c r="U16" s="33">
        <f>IF(Painel!$C$5&gt;=OPEX!U2,$D$111/1000*U3,0)</f>
        <v>97.085541462000009</v>
      </c>
      <c r="V16" s="33">
        <f>IF(Painel!$C$5&gt;=OPEX!V2,$D$111/1000*V3,0)</f>
        <v>97.085541462000009</v>
      </c>
      <c r="W16" s="33">
        <f>IF(Painel!$C$5&gt;=OPEX!W2,$D$111/1000*W3,0)</f>
        <v>97.085541462000009</v>
      </c>
      <c r="X16" s="33">
        <f>IF(Painel!$C$5&gt;=OPEX!X2,$D$111/1000*X3,0)</f>
        <v>97.085541462000009</v>
      </c>
      <c r="Y16" s="33">
        <f>IF(Painel!$C$5&gt;=OPEX!Y2,$D$111/1000*Y3,0)</f>
        <v>97.085541462000009</v>
      </c>
      <c r="Z16" s="33">
        <f>IF(Painel!$C$5&gt;=OPEX!Z2,$D$111/1000*Z3,0)</f>
        <v>97.085541462000009</v>
      </c>
      <c r="AA16" s="33">
        <f>IF(Painel!$C$5&gt;=OPEX!AA2,$D$111/1000*AA3,0)</f>
        <v>97.085541462000009</v>
      </c>
      <c r="AB16" s="33">
        <f>IF(Painel!$C$5&gt;=OPEX!AB2,$D$111/1000*AB3,0)</f>
        <v>97.085541462000009</v>
      </c>
      <c r="AC16" s="33">
        <f>IF(Painel!$C$5&gt;=OPEX!AC2,$D$111/1000*AC3,0)</f>
        <v>97.085541462000009</v>
      </c>
      <c r="AD16" s="33">
        <f>IF(Painel!$C$5&gt;=OPEX!AD2,$D$111/1000*AD3,0)</f>
        <v>97.085541462000009</v>
      </c>
      <c r="AE16" s="33">
        <f>IF(Painel!$C$5&gt;=OPEX!AE2,$D$111/1000*AE3,0)</f>
        <v>97.085541462000009</v>
      </c>
      <c r="AF16" s="33">
        <f>IF(Painel!$C$5&gt;=OPEX!AF2,$D$111/1000*AF3,0)</f>
        <v>97.085541462000009</v>
      </c>
      <c r="AG16" s="33">
        <f>IF(Painel!$C$5&gt;=OPEX!AG2,$D$111/1000*AG3,0)</f>
        <v>97.085541462000009</v>
      </c>
      <c r="AH16" s="33">
        <f>IF(Painel!$C$5&gt;=OPEX!AH2,$D$111/1000*AH3,0)</f>
        <v>97.085541462000009</v>
      </c>
      <c r="AI16" s="33">
        <f>IF(Painel!$C$5&gt;=OPEX!AI2,$D$111/1000*AI3,0)</f>
        <v>0</v>
      </c>
      <c r="AJ16" s="33">
        <f>IF(Painel!$C$5&gt;=OPEX!AJ2,$D$111/1000*AJ3,0)</f>
        <v>0</v>
      </c>
      <c r="AK16" s="33">
        <f>IF(Painel!$C$5&gt;=OPEX!AK2,$D$111/1000*AK3,0)</f>
        <v>0</v>
      </c>
      <c r="AL16" s="33">
        <f>IF(Painel!$C$5&gt;=OPEX!AL2,$D$111/1000*AL3,0)</f>
        <v>0</v>
      </c>
      <c r="AM16" s="33">
        <f>IF(Painel!$C$5&gt;=OPEX!AM2,$D$111/1000*AM3,0)</f>
        <v>0</v>
      </c>
      <c r="AN16" s="33">
        <f>IF(Painel!$C$5&gt;=OPEX!AN2,$D$111/1000*AN3,0)</f>
        <v>0</v>
      </c>
      <c r="AO16" s="36"/>
    </row>
    <row r="17" spans="1:41" ht="12" customHeight="1">
      <c r="A17" s="100" t="s">
        <v>56</v>
      </c>
      <c r="B17" s="36"/>
      <c r="C17" s="301">
        <f t="shared" si="2"/>
        <v>1248.6428880126198</v>
      </c>
      <c r="D17" s="609">
        <f t="shared" si="0"/>
        <v>6.8657672763418774E-3</v>
      </c>
      <c r="E17" s="33">
        <f>IF(Painel!$C$5&gt;=OPEX!E2,$D$115/1000*E3,0)</f>
        <v>15.0180416083992</v>
      </c>
      <c r="F17" s="33">
        <f>IF(Painel!$C$5&gt;=OPEX!F2,$D$115/1000*F3,0)</f>
        <v>32.181517732284</v>
      </c>
      <c r="G17" s="33">
        <f>IF(Painel!$C$5&gt;=OPEX!G2,$D$115/1000*G3,0)</f>
        <v>42.908690309712</v>
      </c>
      <c r="H17" s="33">
        <f>IF(Painel!$C$5&gt;=OPEX!H2,$D$115/1000*H3,0)</f>
        <v>42.908690309712</v>
      </c>
      <c r="I17" s="33">
        <f>IF(Painel!$C$5&gt;=OPEX!I2,$D$115/1000*I3,0)</f>
        <v>42.908690309712</v>
      </c>
      <c r="J17" s="33">
        <f>IF(Painel!$C$5&gt;=OPEX!J2,$D$115/1000*J3,0)</f>
        <v>42.908690309712</v>
      </c>
      <c r="K17" s="33">
        <f>IF(Painel!$C$5&gt;=OPEX!K2,$D$115/1000*K3,0)</f>
        <v>42.908690309712</v>
      </c>
      <c r="L17" s="33">
        <f>IF(Painel!$C$5&gt;=OPEX!L2,$D$115/1000*L3,0)</f>
        <v>42.908690309712</v>
      </c>
      <c r="M17" s="33">
        <f>IF(Painel!$C$5&gt;=OPEX!M2,$D$115/1000*M3,0)</f>
        <v>42.908690309712</v>
      </c>
      <c r="N17" s="33">
        <f>IF(Painel!$C$5&gt;=OPEX!N2,$D$115/1000*N3,0)</f>
        <v>42.908690309712</v>
      </c>
      <c r="O17" s="33">
        <f>IF(Painel!$C$5&gt;=OPEX!O2,$D$115/1000*O3,0)</f>
        <v>42.908690309712</v>
      </c>
      <c r="P17" s="33">
        <f>IF(Painel!$C$5&gt;=OPEX!P2,$D$115/1000*P3,0)</f>
        <v>42.908690309712</v>
      </c>
      <c r="Q17" s="33">
        <f>IF(Painel!$C$5&gt;=OPEX!Q2,$D$115/1000*Q3,0)</f>
        <v>42.908690309712</v>
      </c>
      <c r="R17" s="33">
        <f>IF(Painel!$C$5&gt;=OPEX!R2,$D$115/1000*R3,0)</f>
        <v>42.908690309712</v>
      </c>
      <c r="S17" s="33">
        <f>IF(Painel!$C$5&gt;=OPEX!S2,$D$115/1000*S3,0)</f>
        <v>42.908690309712</v>
      </c>
      <c r="T17" s="33">
        <f>IF(Painel!$C$5&gt;=OPEX!T2,$D$115/1000*T3,0)</f>
        <v>42.908690309712</v>
      </c>
      <c r="U17" s="33">
        <f>IF(Painel!$C$5&gt;=OPEX!U2,$D$115/1000*U3,0)</f>
        <v>42.908690309712</v>
      </c>
      <c r="V17" s="33">
        <f>IF(Painel!$C$5&gt;=OPEX!V2,$D$115/1000*V3,0)</f>
        <v>42.908690309712</v>
      </c>
      <c r="W17" s="33">
        <f>IF(Painel!$C$5&gt;=OPEX!W2,$D$115/1000*W3,0)</f>
        <v>42.908690309712</v>
      </c>
      <c r="X17" s="33">
        <f>IF(Painel!$C$5&gt;=OPEX!X2,$D$115/1000*X3,0)</f>
        <v>42.908690309712</v>
      </c>
      <c r="Y17" s="33">
        <f>IF(Painel!$C$5&gt;=OPEX!Y2,$D$115/1000*Y3,0)</f>
        <v>42.908690309712</v>
      </c>
      <c r="Z17" s="33">
        <f>IF(Painel!$C$5&gt;=OPEX!Z2,$D$115/1000*Z3,0)</f>
        <v>42.908690309712</v>
      </c>
      <c r="AA17" s="33">
        <f>IF(Painel!$C$5&gt;=OPEX!AA2,$D$115/1000*AA3,0)</f>
        <v>42.908690309712</v>
      </c>
      <c r="AB17" s="33">
        <f>IF(Painel!$C$5&gt;=OPEX!AB2,$D$115/1000*AB3,0)</f>
        <v>42.908690309712</v>
      </c>
      <c r="AC17" s="33">
        <f>IF(Painel!$C$5&gt;=OPEX!AC2,$D$115/1000*AC3,0)</f>
        <v>42.908690309712</v>
      </c>
      <c r="AD17" s="33">
        <f>IF(Painel!$C$5&gt;=OPEX!AD2,$D$115/1000*AD3,0)</f>
        <v>42.908690309712</v>
      </c>
      <c r="AE17" s="33">
        <f>IF(Painel!$C$5&gt;=OPEX!AE2,$D$115/1000*AE3,0)</f>
        <v>42.908690309712</v>
      </c>
      <c r="AF17" s="33">
        <f>IF(Painel!$C$5&gt;=OPEX!AF2,$D$115/1000*AF3,0)</f>
        <v>42.908690309712</v>
      </c>
      <c r="AG17" s="33">
        <f>IF(Painel!$C$5&gt;=OPEX!AG2,$D$115/1000*AG3,0)</f>
        <v>42.908690309712</v>
      </c>
      <c r="AH17" s="33">
        <f>IF(Painel!$C$5&gt;=OPEX!AH2,$D$115/1000*AH3,0)</f>
        <v>42.908690309712</v>
      </c>
      <c r="AI17" s="33">
        <f>IF(Painel!$C$5&gt;=OPEX!AI2,$D$115/1000*AI3,0)</f>
        <v>0</v>
      </c>
      <c r="AJ17" s="33">
        <f>IF(Painel!$C$5&gt;=OPEX!AJ2,$D$115/1000*AJ3,0)</f>
        <v>0</v>
      </c>
      <c r="AK17" s="33">
        <f>IF(Painel!$C$5&gt;=OPEX!AK2,$D$115/1000*AK3,0)</f>
        <v>0</v>
      </c>
      <c r="AL17" s="33">
        <f>IF(Painel!$C$5&gt;=OPEX!AL2,$D$115/1000*AL3,0)</f>
        <v>0</v>
      </c>
      <c r="AM17" s="33">
        <f>IF(Painel!$C$5&gt;=OPEX!AM2,$D$115/1000*AM3,0)</f>
        <v>0</v>
      </c>
      <c r="AN17" s="33">
        <f>IF(Painel!$C$5&gt;=OPEX!AN2,$D$115/1000*AN3,0)</f>
        <v>0</v>
      </c>
      <c r="AO17" s="36"/>
    </row>
    <row r="18" spans="1:41" ht="12" customHeight="1">
      <c r="A18" s="100" t="s">
        <v>348</v>
      </c>
      <c r="B18" s="36"/>
      <c r="C18" s="607">
        <f t="shared" si="2"/>
        <v>1992.0659467583316</v>
      </c>
      <c r="D18" s="609">
        <f t="shared" si="0"/>
        <v>1.0953541097196496E-2</v>
      </c>
      <c r="E18" s="608">
        <f>E3*'Opex - Gestão de resíduos'!$I$7/1000</f>
        <v>23.959556060667204</v>
      </c>
      <c r="F18" s="608">
        <f>F3*'Opex - Gestão de resíduos'!$I$7/1000</f>
        <v>51.34190584428687</v>
      </c>
      <c r="G18" s="608">
        <f>G3*'Opex - Gestão de resíduos'!$I$7/1000</f>
        <v>68.455874459049156</v>
      </c>
      <c r="H18" s="608">
        <f>H3*'Opex - Gestão de resíduos'!$I$7/1000</f>
        <v>68.455874459049156</v>
      </c>
      <c r="I18" s="608">
        <f>I3*'Opex - Gestão de resíduos'!$I$7/1000</f>
        <v>68.455874459049156</v>
      </c>
      <c r="J18" s="608">
        <f>J3*'Opex - Gestão de resíduos'!$I$7/1000</f>
        <v>68.455874459049156</v>
      </c>
      <c r="K18" s="608">
        <f>K3*'Opex - Gestão de resíduos'!$I$7/1000</f>
        <v>68.455874459049156</v>
      </c>
      <c r="L18" s="608">
        <f>L3*'Opex - Gestão de resíduos'!$I$7/1000</f>
        <v>68.455874459049156</v>
      </c>
      <c r="M18" s="608">
        <f>M3*'Opex - Gestão de resíduos'!$I$7/1000</f>
        <v>68.455874459049156</v>
      </c>
      <c r="N18" s="608">
        <f>N3*'Opex - Gestão de resíduos'!$I$7/1000</f>
        <v>68.455874459049156</v>
      </c>
      <c r="O18" s="608">
        <f>O3*'Opex - Gestão de resíduos'!$I$7/1000</f>
        <v>68.455874459049156</v>
      </c>
      <c r="P18" s="608">
        <f>P3*'Opex - Gestão de resíduos'!$I$7/1000</f>
        <v>68.455874459049156</v>
      </c>
      <c r="Q18" s="608">
        <f>Q3*'Opex - Gestão de resíduos'!$I$7/1000</f>
        <v>68.455874459049156</v>
      </c>
      <c r="R18" s="608">
        <f>R3*'Opex - Gestão de resíduos'!$I$7/1000</f>
        <v>68.455874459049156</v>
      </c>
      <c r="S18" s="608">
        <f>S3*'Opex - Gestão de resíduos'!$I$7/1000</f>
        <v>68.455874459049156</v>
      </c>
      <c r="T18" s="608">
        <f>T3*'Opex - Gestão de resíduos'!$I$7/1000</f>
        <v>68.455874459049156</v>
      </c>
      <c r="U18" s="608">
        <f>U3*'Opex - Gestão de resíduos'!$I$7/1000</f>
        <v>68.455874459049156</v>
      </c>
      <c r="V18" s="608">
        <f>V3*'Opex - Gestão de resíduos'!$I$7/1000</f>
        <v>68.455874459049156</v>
      </c>
      <c r="W18" s="608">
        <f>W3*'Opex - Gestão de resíduos'!$I$7/1000</f>
        <v>68.455874459049156</v>
      </c>
      <c r="X18" s="608">
        <f>X3*'Opex - Gestão de resíduos'!$I$7/1000</f>
        <v>68.455874459049156</v>
      </c>
      <c r="Y18" s="608">
        <f>Y3*'Opex - Gestão de resíduos'!$I$7/1000</f>
        <v>68.455874459049156</v>
      </c>
      <c r="Z18" s="608">
        <f>Z3*'Opex - Gestão de resíduos'!$I$7/1000</f>
        <v>68.455874459049156</v>
      </c>
      <c r="AA18" s="608">
        <f>AA3*'Opex - Gestão de resíduos'!$I$7/1000</f>
        <v>68.455874459049156</v>
      </c>
      <c r="AB18" s="608">
        <f>AB3*'Opex - Gestão de resíduos'!$I$7/1000</f>
        <v>68.455874459049156</v>
      </c>
      <c r="AC18" s="608">
        <f>AC3*'Opex - Gestão de resíduos'!$I$7/1000</f>
        <v>68.455874459049156</v>
      </c>
      <c r="AD18" s="608">
        <f>AD3*'Opex - Gestão de resíduos'!$I$7/1000</f>
        <v>68.455874459049156</v>
      </c>
      <c r="AE18" s="608">
        <f>AE3*'Opex - Gestão de resíduos'!$I$7/1000</f>
        <v>68.455874459049156</v>
      </c>
      <c r="AF18" s="608">
        <f>AF3*'Opex - Gestão de resíduos'!$I$7/1000</f>
        <v>68.455874459049156</v>
      </c>
      <c r="AG18" s="608">
        <f>AG3*'Opex - Gestão de resíduos'!$I$7/1000</f>
        <v>68.455874459049156</v>
      </c>
      <c r="AH18" s="608">
        <f>AH3*'Opex - Gestão de resíduos'!$I$7/1000</f>
        <v>68.455874459049156</v>
      </c>
      <c r="AI18" s="608">
        <f>AI3*'Opex - Gestão de resíduos'!$I$7/1000</f>
        <v>0</v>
      </c>
      <c r="AJ18" s="608">
        <f>AJ3*'Opex - Gestão de resíduos'!$I$7/1000</f>
        <v>0</v>
      </c>
      <c r="AK18" s="608">
        <f>AK3*'Opex - Gestão de resíduos'!$I$7/1000</f>
        <v>0</v>
      </c>
      <c r="AL18" s="608">
        <f>AL3*'Opex - Gestão de resíduos'!$I$7/1000</f>
        <v>0</v>
      </c>
      <c r="AM18" s="608">
        <f>AM3*'Opex - Gestão de resíduos'!$I$7/1000</f>
        <v>0</v>
      </c>
      <c r="AN18" s="608">
        <f>AN3*'Opex - Gestão de resíduos'!$I$7/1000</f>
        <v>0</v>
      </c>
      <c r="AO18" s="36"/>
    </row>
    <row r="19" spans="1:41" ht="12" customHeight="1">
      <c r="A19" s="100" t="s">
        <v>61</v>
      </c>
      <c r="B19" s="36"/>
      <c r="C19" s="301">
        <f t="shared" si="2"/>
        <v>4718.0689651694029</v>
      </c>
      <c r="D19" s="609">
        <f t="shared" si="0"/>
        <v>2.5942696522415848E-2</v>
      </c>
      <c r="E19" s="33">
        <f>IF(Painel!$C$5&gt;=OPEX!E2,$D$123/1000*E3,0)</f>
        <v>56.746533945336481</v>
      </c>
      <c r="F19" s="33">
        <f>IF(Painel!$C$5&gt;=OPEX!F2,$D$123/1000*F3,0)</f>
        <v>121.59971559714961</v>
      </c>
      <c r="G19" s="33">
        <f>IF(Painel!$C$5&gt;=OPEX!G2,$D$123/1000*G3,0)</f>
        <v>162.13295412953281</v>
      </c>
      <c r="H19" s="33">
        <f>IF(Painel!$C$5&gt;=OPEX!H2,$D$123/1000*H3,0)</f>
        <v>162.13295412953281</v>
      </c>
      <c r="I19" s="33">
        <f>IF(Painel!$C$5&gt;=OPEX!I2,$D$123/1000*I3,0)</f>
        <v>162.13295412953281</v>
      </c>
      <c r="J19" s="33">
        <f>IF(Painel!$C$5&gt;=OPEX!J2,$D$123/1000*J3,0)</f>
        <v>162.13295412953281</v>
      </c>
      <c r="K19" s="33">
        <f>IF(Painel!$C$5&gt;=OPEX!K2,$D$123/1000*K3,0)</f>
        <v>162.13295412953281</v>
      </c>
      <c r="L19" s="33">
        <f>IF(Painel!$C$5&gt;=OPEX!L2,$D$123/1000*L3,0)</f>
        <v>162.13295412953281</v>
      </c>
      <c r="M19" s="33">
        <f>IF(Painel!$C$5&gt;=OPEX!M2,$D$123/1000*M3,0)</f>
        <v>162.13295412953281</v>
      </c>
      <c r="N19" s="33">
        <f>IF(Painel!$C$5&gt;=OPEX!N2,$D$123/1000*N3,0)</f>
        <v>162.13295412953281</v>
      </c>
      <c r="O19" s="33">
        <f>IF(Painel!$C$5&gt;=OPEX!O2,$D$123/1000*O3,0)</f>
        <v>162.13295412953281</v>
      </c>
      <c r="P19" s="33">
        <f>IF(Painel!$C$5&gt;=OPEX!P2,$D$123/1000*P3,0)</f>
        <v>162.13295412953281</v>
      </c>
      <c r="Q19" s="33">
        <f>IF(Painel!$C$5&gt;=OPEX!Q2,$D$123/1000*Q3,0)</f>
        <v>162.13295412953281</v>
      </c>
      <c r="R19" s="33">
        <f>IF(Painel!$C$5&gt;=OPEX!R2,$D$123/1000*R3,0)</f>
        <v>162.13295412953281</v>
      </c>
      <c r="S19" s="33">
        <f>IF(Painel!$C$5&gt;=OPEX!S2,$D$123/1000*S3,0)</f>
        <v>162.13295412953281</v>
      </c>
      <c r="T19" s="33">
        <f>IF(Painel!$C$5&gt;=OPEX!T2,$D$123/1000*T3,0)</f>
        <v>162.13295412953281</v>
      </c>
      <c r="U19" s="33">
        <f>IF(Painel!$C$5&gt;=OPEX!U2,$D$123/1000*U3,0)</f>
        <v>162.13295412953281</v>
      </c>
      <c r="V19" s="33">
        <f>IF(Painel!$C$5&gt;=OPEX!V2,$D$123/1000*V3,0)</f>
        <v>162.13295412953281</v>
      </c>
      <c r="W19" s="33">
        <f>IF(Painel!$C$5&gt;=OPEX!W2,$D$123/1000*W3,0)</f>
        <v>162.13295412953281</v>
      </c>
      <c r="X19" s="33">
        <f>IF(Painel!$C$5&gt;=OPEX!X2,$D$123/1000*X3,0)</f>
        <v>162.13295412953281</v>
      </c>
      <c r="Y19" s="33">
        <f>IF(Painel!$C$5&gt;=OPEX!Y2,$D$123/1000*Y3,0)</f>
        <v>162.13295412953281</v>
      </c>
      <c r="Z19" s="33">
        <f>IF(Painel!$C$5&gt;=OPEX!Z2,$D$123/1000*Z3,0)</f>
        <v>162.13295412953281</v>
      </c>
      <c r="AA19" s="33">
        <f>IF(Painel!$C$5&gt;=OPEX!AA2,$D$123/1000*AA3,0)</f>
        <v>162.13295412953281</v>
      </c>
      <c r="AB19" s="33">
        <f>IF(Painel!$C$5&gt;=OPEX!AB2,$D$123/1000*AB3,0)</f>
        <v>162.13295412953281</v>
      </c>
      <c r="AC19" s="33">
        <f>IF(Painel!$C$5&gt;=OPEX!AC2,$D$123/1000*AC3,0)</f>
        <v>162.13295412953281</v>
      </c>
      <c r="AD19" s="33">
        <f>IF(Painel!$C$5&gt;=OPEX!AD2,$D$123/1000*AD3,0)</f>
        <v>162.13295412953281</v>
      </c>
      <c r="AE19" s="33">
        <f>IF(Painel!$C$5&gt;=OPEX!AE2,$D$123/1000*AE3,0)</f>
        <v>162.13295412953281</v>
      </c>
      <c r="AF19" s="33">
        <f>IF(Painel!$C$5&gt;=OPEX!AF2,$D$123/1000*AF3,0)</f>
        <v>162.13295412953281</v>
      </c>
      <c r="AG19" s="33">
        <f>IF(Painel!$C$5&gt;=OPEX!AG2,$D$123/1000*AG3,0)</f>
        <v>162.13295412953281</v>
      </c>
      <c r="AH19" s="33">
        <f>IF(Painel!$C$5&gt;=OPEX!AH2,$D$123/1000*AH3,0)</f>
        <v>162.13295412953281</v>
      </c>
      <c r="AI19" s="33">
        <f>IF(Painel!$C$5&gt;=OPEX!AI2,$D$123/1000*AI3,0)</f>
        <v>0</v>
      </c>
      <c r="AJ19" s="33">
        <f>IF(Painel!$C$5&gt;=OPEX!AJ2,$D$123/1000*AJ3,0)</f>
        <v>0</v>
      </c>
      <c r="AK19" s="33">
        <f>IF(Painel!$C$5&gt;=OPEX!AK2,$D$123/1000*AK3,0)</f>
        <v>0</v>
      </c>
      <c r="AL19" s="33">
        <f>IF(Painel!$C$5&gt;=OPEX!AL2,$D$123/1000*AL3,0)</f>
        <v>0</v>
      </c>
      <c r="AM19" s="33">
        <f>IF(Painel!$C$5&gt;=OPEX!AM2,$D$123/1000*AM3,0)</f>
        <v>0</v>
      </c>
      <c r="AN19" s="33">
        <f>IF(Painel!$C$5&gt;=OPEX!AN2,$D$123/1000*AN3,0)</f>
        <v>0</v>
      </c>
      <c r="AO19" s="36"/>
    </row>
    <row r="20" spans="1:41" ht="12" customHeight="1">
      <c r="A20" s="100" t="s">
        <v>63</v>
      </c>
      <c r="B20" s="36"/>
      <c r="C20" s="301">
        <f t="shared" si="2"/>
        <v>44449.47077751426</v>
      </c>
      <c r="D20" s="609">
        <f t="shared" si="0"/>
        <v>0.24440912998007447</v>
      </c>
      <c r="E20" s="33">
        <f>IF(Painel!$C$5&gt;=OPEX!E2,$D$127/1000*E3,0)</f>
        <v>534.61562790824701</v>
      </c>
      <c r="F20" s="33">
        <f>IF(Painel!$C$5&gt;=OPEX!F2,$D$127/1000*F3,0)</f>
        <v>1145.6049169462435</v>
      </c>
      <c r="G20" s="33">
        <f>IF(Painel!$C$5&gt;=OPEX!G2,$D$127/1000*G3,0)</f>
        <v>1527.4732225949915</v>
      </c>
      <c r="H20" s="33">
        <f>IF(Painel!$C$5&gt;=OPEX!H2,$D$127/1000*H3,0)</f>
        <v>1527.4732225949915</v>
      </c>
      <c r="I20" s="33">
        <f>IF(Painel!$C$5&gt;=OPEX!I2,$D$127/1000*I3,0)</f>
        <v>1527.4732225949915</v>
      </c>
      <c r="J20" s="33">
        <f>IF(Painel!$C$5&gt;=OPEX!J2,$D$127/1000*J3,0)</f>
        <v>1527.4732225949915</v>
      </c>
      <c r="K20" s="33">
        <f>IF(Painel!$C$5&gt;=OPEX!K2,$D$127/1000*K3,0)</f>
        <v>1527.4732225949915</v>
      </c>
      <c r="L20" s="33">
        <f>IF(Painel!$C$5&gt;=OPEX!L2,$D$127/1000*L3,0)</f>
        <v>1527.4732225949915</v>
      </c>
      <c r="M20" s="33">
        <f>IF(Painel!$C$5&gt;=OPEX!M2,$D$127/1000*M3,0)</f>
        <v>1527.4732225949915</v>
      </c>
      <c r="N20" s="33">
        <f>IF(Painel!$C$5&gt;=OPEX!N2,$D$127/1000*N3,0)</f>
        <v>1527.4732225949915</v>
      </c>
      <c r="O20" s="33">
        <f>IF(Painel!$C$5&gt;=OPEX!O2,$D$127/1000*O3,0)</f>
        <v>1527.4732225949915</v>
      </c>
      <c r="P20" s="33">
        <f>IF(Painel!$C$5&gt;=OPEX!P2,$D$127/1000*P3,0)</f>
        <v>1527.4732225949915</v>
      </c>
      <c r="Q20" s="33">
        <f>IF(Painel!$C$5&gt;=OPEX!Q2,$D$127/1000*Q3,0)</f>
        <v>1527.4732225949915</v>
      </c>
      <c r="R20" s="33">
        <f>IF(Painel!$C$5&gt;=OPEX!R2,$D$127/1000*R3,0)</f>
        <v>1527.4732225949915</v>
      </c>
      <c r="S20" s="33">
        <f>IF(Painel!$C$5&gt;=OPEX!S2,$D$127/1000*S3,0)</f>
        <v>1527.4732225949915</v>
      </c>
      <c r="T20" s="33">
        <f>IF(Painel!$C$5&gt;=OPEX!T2,$D$127/1000*T3,0)</f>
        <v>1527.4732225949915</v>
      </c>
      <c r="U20" s="33">
        <f>IF(Painel!$C$5&gt;=OPEX!U2,$D$127/1000*U3,0)</f>
        <v>1527.4732225949915</v>
      </c>
      <c r="V20" s="33">
        <f>IF(Painel!$C$5&gt;=OPEX!V2,$D$127/1000*V3,0)</f>
        <v>1527.4732225949915</v>
      </c>
      <c r="W20" s="33">
        <f>IF(Painel!$C$5&gt;=OPEX!W2,$D$127/1000*W3,0)</f>
        <v>1527.4732225949915</v>
      </c>
      <c r="X20" s="33">
        <f>IF(Painel!$C$5&gt;=OPEX!X2,$D$127/1000*X3,0)</f>
        <v>1527.4732225949915</v>
      </c>
      <c r="Y20" s="33">
        <f>IF(Painel!$C$5&gt;=OPEX!Y2,$D$127/1000*Y3,0)</f>
        <v>1527.4732225949915</v>
      </c>
      <c r="Z20" s="33">
        <f>IF(Painel!$C$5&gt;=OPEX!Z2,$D$127/1000*Z3,0)</f>
        <v>1527.4732225949915</v>
      </c>
      <c r="AA20" s="33">
        <f>IF(Painel!$C$5&gt;=OPEX!AA2,$D$127/1000*AA3,0)</f>
        <v>1527.4732225949915</v>
      </c>
      <c r="AB20" s="33">
        <f>IF(Painel!$C$5&gt;=OPEX!AB2,$D$127/1000*AB3,0)</f>
        <v>1527.4732225949915</v>
      </c>
      <c r="AC20" s="33">
        <f>IF(Painel!$C$5&gt;=OPEX!AC2,$D$127/1000*AC3,0)</f>
        <v>1527.4732225949915</v>
      </c>
      <c r="AD20" s="33">
        <f>IF(Painel!$C$5&gt;=OPEX!AD2,$D$127/1000*AD3,0)</f>
        <v>1527.4732225949915</v>
      </c>
      <c r="AE20" s="33">
        <f>IF(Painel!$C$5&gt;=OPEX!AE2,$D$127/1000*AE3,0)</f>
        <v>1527.4732225949915</v>
      </c>
      <c r="AF20" s="33">
        <f>IF(Painel!$C$5&gt;=OPEX!AF2,$D$127/1000*AF3,0)</f>
        <v>1527.4732225949915</v>
      </c>
      <c r="AG20" s="33">
        <f>IF(Painel!$C$5&gt;=OPEX!AG2,$D$127/1000*AG3,0)</f>
        <v>1527.4732225949915</v>
      </c>
      <c r="AH20" s="33">
        <f>IF(Painel!$C$5&gt;=OPEX!AH2,$D$127/1000*AH3,0)</f>
        <v>1527.4732225949915</v>
      </c>
      <c r="AI20" s="33">
        <f>IF(Painel!$C$5&gt;=OPEX!AI2,$D$127/1000*AI3,0)</f>
        <v>0</v>
      </c>
      <c r="AJ20" s="33">
        <f>IF(Painel!$C$5&gt;=OPEX!AJ2,$D$127/1000*AJ3,0)</f>
        <v>0</v>
      </c>
      <c r="AK20" s="33">
        <f>IF(Painel!$C$5&gt;=OPEX!AK2,$D$127/1000*AK3,0)</f>
        <v>0</v>
      </c>
      <c r="AL20" s="33">
        <f>IF(Painel!$C$5&gt;=OPEX!AL2,$D$127/1000*AL3,0)</f>
        <v>0</v>
      </c>
      <c r="AM20" s="33">
        <f>IF(Painel!$C$5&gt;=OPEX!AM2,$D$127/1000*AM3,0)</f>
        <v>0</v>
      </c>
      <c r="AN20" s="33">
        <f>IF(Painel!$C$5&gt;=OPEX!AN2,$D$127/1000*AN3,0)</f>
        <v>0</v>
      </c>
      <c r="AO20" s="36"/>
    </row>
    <row r="21" spans="1:41" ht="12" customHeight="1">
      <c r="A21" s="100" t="s">
        <v>65</v>
      </c>
      <c r="B21" s="36"/>
      <c r="C21" s="301">
        <f t="shared" si="2"/>
        <v>2500.9325700000013</v>
      </c>
      <c r="D21" s="609">
        <f t="shared" si="0"/>
        <v>1.3751586754138512E-2</v>
      </c>
      <c r="E21" s="33">
        <f>IF(Painel!$C$5&gt;=OPEX!E2,$D$131/1000*E3,0)</f>
        <v>30.079944999999999</v>
      </c>
      <c r="F21" s="33">
        <f>IF(Painel!$C$5&gt;=OPEX!F2,$D$131/1000*F3,0)</f>
        <v>64.457025000000002</v>
      </c>
      <c r="G21" s="33">
        <f>IF(Painel!$C$5&gt;=OPEX!G2,$D$131/1000*G3,0)</f>
        <v>85.942700000000002</v>
      </c>
      <c r="H21" s="33">
        <f>IF(Painel!$C$5&gt;=OPEX!H2,$D$131/1000*H3,0)</f>
        <v>85.942700000000002</v>
      </c>
      <c r="I21" s="33">
        <f>IF(Painel!$C$5&gt;=OPEX!I2,$D$131/1000*I3,0)</f>
        <v>85.942700000000002</v>
      </c>
      <c r="J21" s="33">
        <f>IF(Painel!$C$5&gt;=OPEX!J2,$D$131/1000*J3,0)</f>
        <v>85.942700000000002</v>
      </c>
      <c r="K21" s="33">
        <f>IF(Painel!$C$5&gt;=OPEX!K2,$D$131/1000*K3,0)</f>
        <v>85.942700000000002</v>
      </c>
      <c r="L21" s="33">
        <f>IF(Painel!$C$5&gt;=OPEX!L2,$D$131/1000*L3,0)</f>
        <v>85.942700000000002</v>
      </c>
      <c r="M21" s="33">
        <f>IF(Painel!$C$5&gt;=OPEX!M2,$D$131/1000*M3,0)</f>
        <v>85.942700000000002</v>
      </c>
      <c r="N21" s="33">
        <f>IF(Painel!$C$5&gt;=OPEX!N2,$D$131/1000*N3,0)</f>
        <v>85.942700000000002</v>
      </c>
      <c r="O21" s="33">
        <f>IF(Painel!$C$5&gt;=OPEX!O2,$D$131/1000*O3,0)</f>
        <v>85.942700000000002</v>
      </c>
      <c r="P21" s="33">
        <f>IF(Painel!$C$5&gt;=OPEX!P2,$D$131/1000*P3,0)</f>
        <v>85.942700000000002</v>
      </c>
      <c r="Q21" s="33">
        <f>IF(Painel!$C$5&gt;=OPEX!Q2,$D$131/1000*Q3,0)</f>
        <v>85.942700000000002</v>
      </c>
      <c r="R21" s="33">
        <f>IF(Painel!$C$5&gt;=OPEX!R2,$D$131/1000*R3,0)</f>
        <v>85.942700000000002</v>
      </c>
      <c r="S21" s="33">
        <f>IF(Painel!$C$5&gt;=OPEX!S2,$D$131/1000*S3,0)</f>
        <v>85.942700000000002</v>
      </c>
      <c r="T21" s="33">
        <f>IF(Painel!$C$5&gt;=OPEX!T2,$D$131/1000*T3,0)</f>
        <v>85.942700000000002</v>
      </c>
      <c r="U21" s="33">
        <f>IF(Painel!$C$5&gt;=OPEX!U2,$D$131/1000*U3,0)</f>
        <v>85.942700000000002</v>
      </c>
      <c r="V21" s="33">
        <f>IF(Painel!$C$5&gt;=OPEX!V2,$D$131/1000*V3,0)</f>
        <v>85.942700000000002</v>
      </c>
      <c r="W21" s="33">
        <f>IF(Painel!$C$5&gt;=OPEX!W2,$D$131/1000*W3,0)</f>
        <v>85.942700000000002</v>
      </c>
      <c r="X21" s="33">
        <f>IF(Painel!$C$5&gt;=OPEX!X2,$D$131/1000*X3,0)</f>
        <v>85.942700000000002</v>
      </c>
      <c r="Y21" s="33">
        <f>IF(Painel!$C$5&gt;=OPEX!Y2,$D$131/1000*Y3,0)</f>
        <v>85.942700000000002</v>
      </c>
      <c r="Z21" s="33">
        <f>IF(Painel!$C$5&gt;=OPEX!Z2,$D$131/1000*Z3,0)</f>
        <v>85.942700000000002</v>
      </c>
      <c r="AA21" s="33">
        <f>IF(Painel!$C$5&gt;=OPEX!AA2,$D$131/1000*AA3,0)</f>
        <v>85.942700000000002</v>
      </c>
      <c r="AB21" s="33">
        <f>IF(Painel!$C$5&gt;=OPEX!AB2,$D$131/1000*AB3,0)</f>
        <v>85.942700000000002</v>
      </c>
      <c r="AC21" s="33">
        <f>IF(Painel!$C$5&gt;=OPEX!AC2,$D$131/1000*AC3,0)</f>
        <v>85.942700000000002</v>
      </c>
      <c r="AD21" s="33">
        <f>IF(Painel!$C$5&gt;=OPEX!AD2,$D$131/1000*AD3,0)</f>
        <v>85.942700000000002</v>
      </c>
      <c r="AE21" s="33">
        <f>IF(Painel!$C$5&gt;=OPEX!AE2,$D$131/1000*AE3,0)</f>
        <v>85.942700000000002</v>
      </c>
      <c r="AF21" s="33">
        <f>IF(Painel!$C$5&gt;=OPEX!AF2,$D$131/1000*AF3,0)</f>
        <v>85.942700000000002</v>
      </c>
      <c r="AG21" s="33">
        <f>IF(Painel!$C$5&gt;=OPEX!AG2,$D$131/1000*AG3,0)</f>
        <v>85.942700000000002</v>
      </c>
      <c r="AH21" s="33">
        <f>IF(Painel!$C$5&gt;=OPEX!AH2,$D$131/1000*AH3,0)</f>
        <v>85.942700000000002</v>
      </c>
      <c r="AI21" s="33">
        <f>IF(Painel!$C$5&gt;=OPEX!AI2,$D$131/1000*AI3,0)</f>
        <v>0</v>
      </c>
      <c r="AJ21" s="33">
        <f>IF(Painel!$C$5&gt;=OPEX!AJ2,$D$131/1000*AJ3,0)</f>
        <v>0</v>
      </c>
      <c r="AK21" s="33">
        <f>IF(Painel!$C$5&gt;=OPEX!AK2,$D$131/1000*AK3,0)</f>
        <v>0</v>
      </c>
      <c r="AL21" s="33">
        <f>IF(Painel!$C$5&gt;=OPEX!AL2,$D$131/1000*AL3,0)</f>
        <v>0</v>
      </c>
      <c r="AM21" s="33">
        <f>IF(Painel!$C$5&gt;=OPEX!AM2,$D$131/1000*AM3,0)</f>
        <v>0</v>
      </c>
      <c r="AN21" s="33">
        <f>IF(Painel!$C$5&gt;=OPEX!AN2,$D$131/1000*AN3,0)</f>
        <v>0</v>
      </c>
      <c r="AO21" s="36"/>
    </row>
    <row r="22" spans="1:41" ht="12" customHeight="1">
      <c r="A22" s="100" t="s">
        <v>69</v>
      </c>
      <c r="B22" s="36"/>
      <c r="C22" s="301">
        <f t="shared" si="2"/>
        <v>29280.523091751344</v>
      </c>
      <c r="D22" s="609">
        <f t="shared" si="0"/>
        <v>0.1610014033696136</v>
      </c>
      <c r="E22" s="33">
        <f>IF(Painel!$C$5&gt;=OPEX!E2,$D$133/1000*E3,0)</f>
        <v>352.17123993515338</v>
      </c>
      <c r="F22" s="33">
        <f>IF(Painel!$C$5&gt;=OPEX!F2,$D$133/1000*F3,0)</f>
        <v>754.65265700390023</v>
      </c>
      <c r="G22" s="33">
        <f>IF(Painel!$C$5&gt;=OPEX!G2,$D$133/1000*G3,0)</f>
        <v>1006.2035426718669</v>
      </c>
      <c r="H22" s="33">
        <f>IF(Painel!$C$5&gt;=OPEX!H2,$D$133/1000*H3,0)</f>
        <v>1006.2035426718669</v>
      </c>
      <c r="I22" s="33">
        <f>IF(Painel!$C$5&gt;=OPEX!I2,$D$133/1000*I3,0)</f>
        <v>1006.2035426718669</v>
      </c>
      <c r="J22" s="33">
        <f>IF(Painel!$C$5&gt;=OPEX!J2,$D$133/1000*J3,0)</f>
        <v>1006.2035426718669</v>
      </c>
      <c r="K22" s="33">
        <f>IF(Painel!$C$5&gt;=OPEX!K2,$D$133/1000*K3,0)</f>
        <v>1006.2035426718669</v>
      </c>
      <c r="L22" s="33">
        <f>IF(Painel!$C$5&gt;=OPEX!L2,$D$133/1000*L3,0)</f>
        <v>1006.2035426718669</v>
      </c>
      <c r="M22" s="33">
        <f>IF(Painel!$C$5&gt;=OPEX!M2,$D$133/1000*M3,0)</f>
        <v>1006.2035426718669</v>
      </c>
      <c r="N22" s="33">
        <f>IF(Painel!$C$5&gt;=OPEX!N2,$D$133/1000*N3,0)</f>
        <v>1006.2035426718669</v>
      </c>
      <c r="O22" s="33">
        <f>IF(Painel!$C$5&gt;=OPEX!O2,$D$133/1000*O3,0)</f>
        <v>1006.2035426718669</v>
      </c>
      <c r="P22" s="33">
        <f>IF(Painel!$C$5&gt;=OPEX!P2,$D$133/1000*P3,0)</f>
        <v>1006.2035426718669</v>
      </c>
      <c r="Q22" s="33">
        <f>IF(Painel!$C$5&gt;=OPEX!Q2,$D$133/1000*Q3,0)</f>
        <v>1006.2035426718669</v>
      </c>
      <c r="R22" s="33">
        <f>IF(Painel!$C$5&gt;=OPEX!R2,$D$133/1000*R3,0)</f>
        <v>1006.2035426718669</v>
      </c>
      <c r="S22" s="33">
        <f>IF(Painel!$C$5&gt;=OPEX!S2,$D$133/1000*S3,0)</f>
        <v>1006.2035426718669</v>
      </c>
      <c r="T22" s="33">
        <f>IF(Painel!$C$5&gt;=OPEX!T2,$D$133/1000*T3,0)</f>
        <v>1006.2035426718669</v>
      </c>
      <c r="U22" s="33">
        <f>IF(Painel!$C$5&gt;=OPEX!U2,$D$133/1000*U3,0)</f>
        <v>1006.2035426718669</v>
      </c>
      <c r="V22" s="33">
        <f>IF(Painel!$C$5&gt;=OPEX!V2,$D$133/1000*V3,0)</f>
        <v>1006.2035426718669</v>
      </c>
      <c r="W22" s="33">
        <f>IF(Painel!$C$5&gt;=OPEX!W2,$D$133/1000*W3,0)</f>
        <v>1006.2035426718669</v>
      </c>
      <c r="X22" s="33">
        <f>IF(Painel!$C$5&gt;=OPEX!X2,$D$133/1000*X3,0)</f>
        <v>1006.2035426718669</v>
      </c>
      <c r="Y22" s="33">
        <f>IF(Painel!$C$5&gt;=OPEX!Y2,$D$133/1000*Y3,0)</f>
        <v>1006.2035426718669</v>
      </c>
      <c r="Z22" s="33">
        <f>IF(Painel!$C$5&gt;=OPEX!Z2,$D$133/1000*Z3,0)</f>
        <v>1006.2035426718669</v>
      </c>
      <c r="AA22" s="33">
        <f>IF(Painel!$C$5&gt;=OPEX!AA2,$D$133/1000*AA3,0)</f>
        <v>1006.2035426718669</v>
      </c>
      <c r="AB22" s="33">
        <f>IF(Painel!$C$5&gt;=OPEX!AB2,$D$133/1000*AB3,0)</f>
        <v>1006.2035426718669</v>
      </c>
      <c r="AC22" s="33">
        <f>IF(Painel!$C$5&gt;=OPEX!AC2,$D$133/1000*AC3,0)</f>
        <v>1006.2035426718669</v>
      </c>
      <c r="AD22" s="33">
        <f>IF(Painel!$C$5&gt;=OPEX!AD2,$D$133/1000*AD3,0)</f>
        <v>1006.2035426718669</v>
      </c>
      <c r="AE22" s="33">
        <f>IF(Painel!$C$5&gt;=OPEX!AE2,$D$133/1000*AE3,0)</f>
        <v>1006.2035426718669</v>
      </c>
      <c r="AF22" s="33">
        <f>IF(Painel!$C$5&gt;=OPEX!AF2,$D$133/1000*AF3,0)</f>
        <v>1006.2035426718669</v>
      </c>
      <c r="AG22" s="33">
        <f>IF(Painel!$C$5&gt;=OPEX!AG2,$D$133/1000*AG3,0)</f>
        <v>1006.2035426718669</v>
      </c>
      <c r="AH22" s="33">
        <f>IF(Painel!$C$5&gt;=OPEX!AH2,$D$133/1000*AH3,0)</f>
        <v>1006.2035426718669</v>
      </c>
      <c r="AI22" s="33">
        <f>IF(Painel!$C$5&gt;=OPEX!AI2,$D$133/1000*AI3,0)</f>
        <v>0</v>
      </c>
      <c r="AJ22" s="33">
        <f>IF(Painel!$C$5&gt;=OPEX!AJ2,$D$133/1000*AJ3,0)</f>
        <v>0</v>
      </c>
      <c r="AK22" s="33">
        <f>IF(Painel!$C$5&gt;=OPEX!AK2,$D$133/1000*AK3,0)</f>
        <v>0</v>
      </c>
      <c r="AL22" s="33">
        <f>IF(Painel!$C$5&gt;=OPEX!AL2,$D$133/1000*AL3,0)</f>
        <v>0</v>
      </c>
      <c r="AM22" s="33">
        <f>IF(Painel!$C$5&gt;=OPEX!AM2,$D$133/1000*AM3,0)</f>
        <v>0</v>
      </c>
      <c r="AN22" s="33">
        <f>IF(Painel!$C$5&gt;=OPEX!AN2,$D$133/1000*AN3,0)</f>
        <v>0</v>
      </c>
      <c r="AO22" s="36"/>
    </row>
    <row r="23" spans="1:41" ht="12" customHeight="1">
      <c r="A23" s="100" t="s">
        <v>73</v>
      </c>
      <c r="B23" s="36"/>
      <c r="C23" s="301">
        <f t="shared" si="2"/>
        <v>13790.351515120812</v>
      </c>
      <c r="D23" s="609">
        <f t="shared" si="0"/>
        <v>7.5827400348602456E-2</v>
      </c>
      <c r="E23" s="33">
        <f>IF(Painel!$C$5&gt;=OPEX!E2,$D$137/1000*E3,0)</f>
        <v>165.86333437430525</v>
      </c>
      <c r="F23" s="33">
        <f>IF(Painel!$C$5&gt;=OPEX!F2,$D$137/1000*F3,0)</f>
        <v>355.42143080208268</v>
      </c>
      <c r="G23" s="33">
        <f>IF(Painel!$C$5&gt;=OPEX!G2,$D$137/1000*G3,0)</f>
        <v>473.89524106944361</v>
      </c>
      <c r="H23" s="33">
        <f>IF(Painel!$C$5&gt;=OPEX!H2,$D$137/1000*H3,0)</f>
        <v>473.89524106944361</v>
      </c>
      <c r="I23" s="33">
        <f>IF(Painel!$C$5&gt;=OPEX!I2,$D$137/1000*I3,0)</f>
        <v>473.89524106944361</v>
      </c>
      <c r="J23" s="33">
        <f>IF(Painel!$C$5&gt;=OPEX!J2,$D$137/1000*J3,0)</f>
        <v>473.89524106944361</v>
      </c>
      <c r="K23" s="33">
        <f>IF(Painel!$C$5&gt;=OPEX!K2,$D$137/1000*K3,0)</f>
        <v>473.89524106944361</v>
      </c>
      <c r="L23" s="33">
        <f>IF(Painel!$C$5&gt;=OPEX!L2,$D$137/1000*L3,0)</f>
        <v>473.89524106944361</v>
      </c>
      <c r="M23" s="33">
        <f>IF(Painel!$C$5&gt;=OPEX!M2,$D$137/1000*M3,0)</f>
        <v>473.89524106944361</v>
      </c>
      <c r="N23" s="33">
        <f>IF(Painel!$C$5&gt;=OPEX!N2,$D$137/1000*N3,0)</f>
        <v>473.89524106944361</v>
      </c>
      <c r="O23" s="33">
        <f>IF(Painel!$C$5&gt;=OPEX!O2,$D$137/1000*O3,0)</f>
        <v>473.89524106944361</v>
      </c>
      <c r="P23" s="33">
        <f>IF(Painel!$C$5&gt;=OPEX!P2,$D$137/1000*P3,0)</f>
        <v>473.89524106944361</v>
      </c>
      <c r="Q23" s="33">
        <f>IF(Painel!$C$5&gt;=OPEX!Q2,$D$137/1000*Q3,0)</f>
        <v>473.89524106944361</v>
      </c>
      <c r="R23" s="33">
        <f>IF(Painel!$C$5&gt;=OPEX!R2,$D$137/1000*R3,0)</f>
        <v>473.89524106944361</v>
      </c>
      <c r="S23" s="33">
        <f>IF(Painel!$C$5&gt;=OPEX!S2,$D$137/1000*S3,0)</f>
        <v>473.89524106944361</v>
      </c>
      <c r="T23" s="33">
        <f>IF(Painel!$C$5&gt;=OPEX!T2,$D$137/1000*T3,0)</f>
        <v>473.89524106944361</v>
      </c>
      <c r="U23" s="33">
        <f>IF(Painel!$C$5&gt;=OPEX!U2,$D$137/1000*U3,0)</f>
        <v>473.89524106944361</v>
      </c>
      <c r="V23" s="33">
        <f>IF(Painel!$C$5&gt;=OPEX!V2,$D$137/1000*V3,0)</f>
        <v>473.89524106944361</v>
      </c>
      <c r="W23" s="33">
        <f>IF(Painel!$C$5&gt;=OPEX!W2,$D$137/1000*W3,0)</f>
        <v>473.89524106944361</v>
      </c>
      <c r="X23" s="33">
        <f>IF(Painel!$C$5&gt;=OPEX!X2,$D$137/1000*X3,0)</f>
        <v>473.89524106944361</v>
      </c>
      <c r="Y23" s="33">
        <f>IF(Painel!$C$5&gt;=OPEX!Y2,$D$137/1000*Y3,0)</f>
        <v>473.89524106944361</v>
      </c>
      <c r="Z23" s="33">
        <f>IF(Painel!$C$5&gt;=OPEX!Z2,$D$137/1000*Z3,0)</f>
        <v>473.89524106944361</v>
      </c>
      <c r="AA23" s="33">
        <f>IF(Painel!$C$5&gt;=OPEX!AA2,$D$137/1000*AA3,0)</f>
        <v>473.89524106944361</v>
      </c>
      <c r="AB23" s="33">
        <f>IF(Painel!$C$5&gt;=OPEX!AB2,$D$137/1000*AB3,0)</f>
        <v>473.89524106944361</v>
      </c>
      <c r="AC23" s="33">
        <f>IF(Painel!$C$5&gt;=OPEX!AC2,$D$137/1000*AC3,0)</f>
        <v>473.89524106944361</v>
      </c>
      <c r="AD23" s="33">
        <f>IF(Painel!$C$5&gt;=OPEX!AD2,$D$137/1000*AD3,0)</f>
        <v>473.89524106944361</v>
      </c>
      <c r="AE23" s="33">
        <f>IF(Painel!$C$5&gt;=OPEX!AE2,$D$137/1000*AE3,0)</f>
        <v>473.89524106944361</v>
      </c>
      <c r="AF23" s="33">
        <f>IF(Painel!$C$5&gt;=OPEX!AF2,$D$137/1000*AF3,0)</f>
        <v>473.89524106944361</v>
      </c>
      <c r="AG23" s="33">
        <f>IF(Painel!$C$5&gt;=OPEX!AG2,$D$137/1000*AG3,0)</f>
        <v>473.89524106944361</v>
      </c>
      <c r="AH23" s="33">
        <f>IF(Painel!$C$5&gt;=OPEX!AH2,$D$137/1000*AH3,0)</f>
        <v>473.89524106944361</v>
      </c>
      <c r="AI23" s="33">
        <f>IF(Painel!$C$5&gt;=OPEX!AI2,$D$137/1000*AI3,0)</f>
        <v>0</v>
      </c>
      <c r="AJ23" s="33">
        <f>IF(Painel!$C$5&gt;=OPEX!AJ2,$D$137/1000*AJ3,0)</f>
        <v>0</v>
      </c>
      <c r="AK23" s="33">
        <f>IF(Painel!$C$5&gt;=OPEX!AK2,$D$137/1000*AK3,0)</f>
        <v>0</v>
      </c>
      <c r="AL23" s="33">
        <f>IF(Painel!$C$5&gt;=OPEX!AL2,$D$137/1000*AL3,0)</f>
        <v>0</v>
      </c>
      <c r="AM23" s="33">
        <f>IF(Painel!$C$5&gt;=OPEX!AM2,$D$137/1000*AM3,0)</f>
        <v>0</v>
      </c>
      <c r="AN23" s="33">
        <f>IF(Painel!$C$5&gt;=OPEX!AN2,$D$137/1000*AN3,0)</f>
        <v>0</v>
      </c>
      <c r="AO23" s="36"/>
    </row>
    <row r="24" spans="1:41" ht="12" customHeight="1">
      <c r="A24" s="100" t="s">
        <v>77</v>
      </c>
      <c r="B24" s="36"/>
      <c r="C24" s="301">
        <f t="shared" si="2"/>
        <v>9317.9841592326775</v>
      </c>
      <c r="D24" s="609">
        <f t="shared" si="0"/>
        <v>5.1235714659582571E-2</v>
      </c>
      <c r="E24" s="33">
        <f>IF(Painel!$C$5&gt;=OPEX!E2,$D$141/1000*E3,0)</f>
        <v>112.07197442376068</v>
      </c>
      <c r="F24" s="33">
        <f>IF(Painel!$C$5&gt;=OPEX!F2,$D$141/1000*F3,0)</f>
        <v>240.15423090805862</v>
      </c>
      <c r="G24" s="33">
        <f>IF(Painel!$C$5&gt;=OPEX!G2,$D$141/1000*G3,0)</f>
        <v>320.20564121074483</v>
      </c>
      <c r="H24" s="33">
        <f>IF(Painel!$C$5&gt;=OPEX!H2,$D$141/1000*H3,0)</f>
        <v>320.20564121074483</v>
      </c>
      <c r="I24" s="33">
        <f>IF(Painel!$C$5&gt;=OPEX!I2,$D$141/1000*I3,0)</f>
        <v>320.20564121074483</v>
      </c>
      <c r="J24" s="33">
        <f>IF(Painel!$C$5&gt;=OPEX!J2,$D$141/1000*J3,0)</f>
        <v>320.20564121074483</v>
      </c>
      <c r="K24" s="33">
        <f>IF(Painel!$C$5&gt;=OPEX!K2,$D$141/1000*K3,0)</f>
        <v>320.20564121074483</v>
      </c>
      <c r="L24" s="33">
        <f>IF(Painel!$C$5&gt;=OPEX!L2,$D$141/1000*L3,0)</f>
        <v>320.20564121074483</v>
      </c>
      <c r="M24" s="33">
        <f>IF(Painel!$C$5&gt;=OPEX!M2,$D$141/1000*M3,0)</f>
        <v>320.20564121074483</v>
      </c>
      <c r="N24" s="33">
        <f>IF(Painel!$C$5&gt;=OPEX!N2,$D$141/1000*N3,0)</f>
        <v>320.20564121074483</v>
      </c>
      <c r="O24" s="33">
        <f>IF(Painel!$C$5&gt;=OPEX!O2,$D$141/1000*O3,0)</f>
        <v>320.20564121074483</v>
      </c>
      <c r="P24" s="33">
        <f>IF(Painel!$C$5&gt;=OPEX!P2,$D$141/1000*P3,0)</f>
        <v>320.20564121074483</v>
      </c>
      <c r="Q24" s="33">
        <f>IF(Painel!$C$5&gt;=OPEX!Q2,$D$141/1000*Q3,0)</f>
        <v>320.20564121074483</v>
      </c>
      <c r="R24" s="33">
        <f>IF(Painel!$C$5&gt;=OPEX!R2,$D$141/1000*R3,0)</f>
        <v>320.20564121074483</v>
      </c>
      <c r="S24" s="33">
        <f>IF(Painel!$C$5&gt;=OPEX!S2,$D$141/1000*S3,0)</f>
        <v>320.20564121074483</v>
      </c>
      <c r="T24" s="33">
        <f>IF(Painel!$C$5&gt;=OPEX!T2,$D$141/1000*T3,0)</f>
        <v>320.20564121074483</v>
      </c>
      <c r="U24" s="33">
        <f>IF(Painel!$C$5&gt;=OPEX!U2,$D$141/1000*U3,0)</f>
        <v>320.20564121074483</v>
      </c>
      <c r="V24" s="33">
        <f>IF(Painel!$C$5&gt;=OPEX!V2,$D$141/1000*V3,0)</f>
        <v>320.20564121074483</v>
      </c>
      <c r="W24" s="33">
        <f>IF(Painel!$C$5&gt;=OPEX!W2,$D$141/1000*W3,0)</f>
        <v>320.20564121074483</v>
      </c>
      <c r="X24" s="33">
        <f>IF(Painel!$C$5&gt;=OPEX!X2,$D$141/1000*X3,0)</f>
        <v>320.20564121074483</v>
      </c>
      <c r="Y24" s="33">
        <f>IF(Painel!$C$5&gt;=OPEX!Y2,$D$141/1000*Y3,0)</f>
        <v>320.20564121074483</v>
      </c>
      <c r="Z24" s="33">
        <f>IF(Painel!$C$5&gt;=OPEX!Z2,$D$141/1000*Z3,0)</f>
        <v>320.20564121074483</v>
      </c>
      <c r="AA24" s="33">
        <f>IF(Painel!$C$5&gt;=OPEX!AA2,$D$141/1000*AA3,0)</f>
        <v>320.20564121074483</v>
      </c>
      <c r="AB24" s="33">
        <f>IF(Painel!$C$5&gt;=OPEX!AB2,$D$141/1000*AB3,0)</f>
        <v>320.20564121074483</v>
      </c>
      <c r="AC24" s="33">
        <f>IF(Painel!$C$5&gt;=OPEX!AC2,$D$141/1000*AC3,0)</f>
        <v>320.20564121074483</v>
      </c>
      <c r="AD24" s="33">
        <f>IF(Painel!$C$5&gt;=OPEX!AD2,$D$141/1000*AD3,0)</f>
        <v>320.20564121074483</v>
      </c>
      <c r="AE24" s="33">
        <f>IF(Painel!$C$5&gt;=OPEX!AE2,$D$141/1000*AE3,0)</f>
        <v>320.20564121074483</v>
      </c>
      <c r="AF24" s="33">
        <f>IF(Painel!$C$5&gt;=OPEX!AF2,$D$141/1000*AF3,0)</f>
        <v>320.20564121074483</v>
      </c>
      <c r="AG24" s="33">
        <f>IF(Painel!$C$5&gt;=OPEX!AG2,$D$141/1000*AG3,0)</f>
        <v>320.20564121074483</v>
      </c>
      <c r="AH24" s="33">
        <f>IF(Painel!$C$5&gt;=OPEX!AH2,$D$141/1000*AH3,0)</f>
        <v>320.20564121074483</v>
      </c>
      <c r="AI24" s="33">
        <f>IF(Painel!$C$5&gt;=OPEX!AI2,$D$141/1000*AI3,0)</f>
        <v>0</v>
      </c>
      <c r="AJ24" s="33">
        <f>IF(Painel!$C$5&gt;=OPEX!AJ2,$D$141/1000*AJ3,0)</f>
        <v>0</v>
      </c>
      <c r="AK24" s="33">
        <f>IF(Painel!$C$5&gt;=OPEX!AK2,$D$141/1000*AK3,0)</f>
        <v>0</v>
      </c>
      <c r="AL24" s="33">
        <f>IF(Painel!$C$5&gt;=OPEX!AL2,$D$141/1000*AL3,0)</f>
        <v>0</v>
      </c>
      <c r="AM24" s="33">
        <f>IF(Painel!$C$5&gt;=OPEX!AM2,$D$141/1000*AM3,0)</f>
        <v>0</v>
      </c>
      <c r="AN24" s="33">
        <f>IF(Painel!$C$5&gt;=OPEX!AN2,$D$141/1000*AN3,0)</f>
        <v>0</v>
      </c>
      <c r="AO24" s="36"/>
    </row>
    <row r="25" spans="1:41" ht="12" customHeight="1">
      <c r="A25" s="100" t="s">
        <v>81</v>
      </c>
      <c r="B25" s="36"/>
      <c r="C25" s="301">
        <f t="shared" si="2"/>
        <v>7658.26619547274</v>
      </c>
      <c r="D25" s="609">
        <f t="shared" si="0"/>
        <v>4.2109616723224816E-2</v>
      </c>
      <c r="E25" s="33">
        <f>IF(Painel!$C$5&gt;=OPEX!E2,$D$145/1000*E3,0)</f>
        <v>92.109730873383526</v>
      </c>
      <c r="F25" s="33">
        <f>IF(Painel!$C$5&gt;=OPEX!F2,$D$145/1000*F3,0)</f>
        <v>197.37799472867897</v>
      </c>
      <c r="G25" s="33">
        <f>IF(Painel!$C$5&gt;=OPEX!G2,$D$145/1000*G3,0)</f>
        <v>263.17065963823865</v>
      </c>
      <c r="H25" s="33">
        <f>IF(Painel!$C$5&gt;=OPEX!H2,$D$145/1000*H3,0)</f>
        <v>263.17065963823865</v>
      </c>
      <c r="I25" s="33">
        <f>IF(Painel!$C$5&gt;=OPEX!I2,$D$145/1000*I3,0)</f>
        <v>263.17065963823865</v>
      </c>
      <c r="J25" s="33">
        <f>IF(Painel!$C$5&gt;=OPEX!J2,$D$145/1000*J3,0)</f>
        <v>263.17065963823865</v>
      </c>
      <c r="K25" s="33">
        <f>IF(Painel!$C$5&gt;=OPEX!K2,$D$145/1000*K3,0)</f>
        <v>263.17065963823865</v>
      </c>
      <c r="L25" s="33">
        <f>IF(Painel!$C$5&gt;=OPEX!L2,$D$145/1000*L3,0)</f>
        <v>263.17065963823865</v>
      </c>
      <c r="M25" s="33">
        <f>IF(Painel!$C$5&gt;=OPEX!M2,$D$145/1000*M3,0)</f>
        <v>263.17065963823865</v>
      </c>
      <c r="N25" s="33">
        <f>IF(Painel!$C$5&gt;=OPEX!N2,$D$145/1000*N3,0)</f>
        <v>263.17065963823865</v>
      </c>
      <c r="O25" s="33">
        <f>IF(Painel!$C$5&gt;=OPEX!O2,$D$145/1000*O3,0)</f>
        <v>263.17065963823865</v>
      </c>
      <c r="P25" s="33">
        <f>IF(Painel!$C$5&gt;=OPEX!P2,$D$145/1000*P3,0)</f>
        <v>263.17065963823865</v>
      </c>
      <c r="Q25" s="33">
        <f>IF(Painel!$C$5&gt;=OPEX!Q2,$D$145/1000*Q3,0)</f>
        <v>263.17065963823865</v>
      </c>
      <c r="R25" s="33">
        <f>IF(Painel!$C$5&gt;=OPEX!R2,$D$145/1000*R3,0)</f>
        <v>263.17065963823865</v>
      </c>
      <c r="S25" s="33">
        <f>IF(Painel!$C$5&gt;=OPEX!S2,$D$145/1000*S3,0)</f>
        <v>263.17065963823865</v>
      </c>
      <c r="T25" s="33">
        <f>IF(Painel!$C$5&gt;=OPEX!T2,$D$145/1000*T3,0)</f>
        <v>263.17065963823865</v>
      </c>
      <c r="U25" s="33">
        <f>IF(Painel!$C$5&gt;=OPEX!U2,$D$145/1000*U3,0)</f>
        <v>263.17065963823865</v>
      </c>
      <c r="V25" s="33">
        <f>IF(Painel!$C$5&gt;=OPEX!V2,$D$145/1000*V3,0)</f>
        <v>263.17065963823865</v>
      </c>
      <c r="W25" s="33">
        <f>IF(Painel!$C$5&gt;=OPEX!W2,$D$145/1000*W3,0)</f>
        <v>263.17065963823865</v>
      </c>
      <c r="X25" s="33">
        <f>IF(Painel!$C$5&gt;=OPEX!X2,$D$145/1000*X3,0)</f>
        <v>263.17065963823865</v>
      </c>
      <c r="Y25" s="33">
        <f>IF(Painel!$C$5&gt;=OPEX!Y2,$D$145/1000*Y3,0)</f>
        <v>263.17065963823865</v>
      </c>
      <c r="Z25" s="33">
        <f>IF(Painel!$C$5&gt;=OPEX!Z2,$D$145/1000*Z3,0)</f>
        <v>263.17065963823865</v>
      </c>
      <c r="AA25" s="33">
        <f>IF(Painel!$C$5&gt;=OPEX!AA2,$D$145/1000*AA3,0)</f>
        <v>263.17065963823865</v>
      </c>
      <c r="AB25" s="33">
        <f>IF(Painel!$C$5&gt;=OPEX!AB2,$D$145/1000*AB3,0)</f>
        <v>263.17065963823865</v>
      </c>
      <c r="AC25" s="33">
        <f>IF(Painel!$C$5&gt;=OPEX!AC2,$D$145/1000*AC3,0)</f>
        <v>263.17065963823865</v>
      </c>
      <c r="AD25" s="33">
        <f>IF(Painel!$C$5&gt;=OPEX!AD2,$D$145/1000*AD3,0)</f>
        <v>263.17065963823865</v>
      </c>
      <c r="AE25" s="33">
        <f>IF(Painel!$C$5&gt;=OPEX!AE2,$D$145/1000*AE3,0)</f>
        <v>263.17065963823865</v>
      </c>
      <c r="AF25" s="33">
        <f>IF(Painel!$C$5&gt;=OPEX!AF2,$D$145/1000*AF3,0)</f>
        <v>263.17065963823865</v>
      </c>
      <c r="AG25" s="33">
        <f>IF(Painel!$C$5&gt;=OPEX!AG2,$D$145/1000*AG3,0)</f>
        <v>263.17065963823865</v>
      </c>
      <c r="AH25" s="33">
        <f>IF(Painel!$C$5&gt;=OPEX!AH2,$D$145/1000*AH3,0)</f>
        <v>263.17065963823865</v>
      </c>
      <c r="AI25" s="33">
        <f>IF(Painel!$C$5&gt;=OPEX!AI2,$D$145/1000*AI3,0)</f>
        <v>0</v>
      </c>
      <c r="AJ25" s="33">
        <f>IF(Painel!$C$5&gt;=OPEX!AJ2,$D$145/1000*AJ3,0)</f>
        <v>0</v>
      </c>
      <c r="AK25" s="33">
        <f>IF(Painel!$C$5&gt;=OPEX!AK2,$D$145/1000*AK3,0)</f>
        <v>0</v>
      </c>
      <c r="AL25" s="33">
        <f>IF(Painel!$C$5&gt;=OPEX!AL2,$D$145/1000*AL3,0)</f>
        <v>0</v>
      </c>
      <c r="AM25" s="33">
        <f>IF(Painel!$C$5&gt;=OPEX!AM2,$D$145/1000*AM3,0)</f>
        <v>0</v>
      </c>
      <c r="AN25" s="33">
        <f>IF(Painel!$C$5&gt;=OPEX!AN2,$D$145/1000*AN3,0)</f>
        <v>0</v>
      </c>
      <c r="AO25" s="36"/>
    </row>
    <row r="26" spans="1:41" ht="12" customHeight="1">
      <c r="A26" s="100" t="s">
        <v>84</v>
      </c>
      <c r="B26" s="36"/>
      <c r="C26" s="301">
        <f t="shared" si="2"/>
        <v>29873.732001906694</v>
      </c>
      <c r="D26" s="609">
        <f>C26/$C$28</f>
        <v>0.16426321214014325</v>
      </c>
      <c r="E26" s="33">
        <f>IF(Painel!$C$5&gt;=OPEX!E2,$D$149/1000*E3,0)</f>
        <v>359.30605500575035</v>
      </c>
      <c r="F26" s="33">
        <f>IF(Painel!$C$5&gt;=OPEX!F2,$D$149/1000*F3,0)</f>
        <v>769.94154644089372</v>
      </c>
      <c r="G26" s="33">
        <f>IF(Painel!$C$5&gt;=OPEX!G2,$D$149/1000*G3,0)</f>
        <v>1026.5887285878582</v>
      </c>
      <c r="H26" s="33">
        <f>IF(Painel!$C$5&gt;=OPEX!H2,$D$149/1000*H3,0)</f>
        <v>1026.5887285878582</v>
      </c>
      <c r="I26" s="33">
        <f>IF(Painel!$C$5&gt;=OPEX!I2,$D$149/1000*I3,0)</f>
        <v>1026.5887285878582</v>
      </c>
      <c r="J26" s="33">
        <f>IF(Painel!$C$5&gt;=OPEX!J2,$D$149/1000*J3,0)</f>
        <v>1026.5887285878582</v>
      </c>
      <c r="K26" s="33">
        <f>IF(Painel!$C$5&gt;=OPEX!K2,$D$149/1000*K3,0)</f>
        <v>1026.5887285878582</v>
      </c>
      <c r="L26" s="33">
        <f>IF(Painel!$C$5&gt;=OPEX!L2,$D$149/1000*L3,0)</f>
        <v>1026.5887285878582</v>
      </c>
      <c r="M26" s="33">
        <f>IF(Painel!$C$5&gt;=OPEX!M2,$D$149/1000*M3,0)</f>
        <v>1026.5887285878582</v>
      </c>
      <c r="N26" s="33">
        <f>IF(Painel!$C$5&gt;=OPEX!N2,$D$149/1000*N3,0)</f>
        <v>1026.5887285878582</v>
      </c>
      <c r="O26" s="33">
        <f>IF(Painel!$C$5&gt;=OPEX!O2,$D$149/1000*O3,0)</f>
        <v>1026.5887285878582</v>
      </c>
      <c r="P26" s="33">
        <f>IF(Painel!$C$5&gt;=OPEX!P2,$D$149/1000*P3,0)</f>
        <v>1026.5887285878582</v>
      </c>
      <c r="Q26" s="33">
        <f>IF(Painel!$C$5&gt;=OPEX!Q2,$D$149/1000*Q3,0)</f>
        <v>1026.5887285878582</v>
      </c>
      <c r="R26" s="33">
        <f>IF(Painel!$C$5&gt;=OPEX!R2,$D$149/1000*R3,0)</f>
        <v>1026.5887285878582</v>
      </c>
      <c r="S26" s="33">
        <f>IF(Painel!$C$5&gt;=OPEX!S2,$D$149/1000*S3,0)</f>
        <v>1026.5887285878582</v>
      </c>
      <c r="T26" s="33">
        <f>IF(Painel!$C$5&gt;=OPEX!T2,$D$149/1000*T3,0)</f>
        <v>1026.5887285878582</v>
      </c>
      <c r="U26" s="33">
        <f>IF(Painel!$C$5&gt;=OPEX!U2,$D$149/1000*U3,0)</f>
        <v>1026.5887285878582</v>
      </c>
      <c r="V26" s="33">
        <f>IF(Painel!$C$5&gt;=OPEX!V2,$D$149/1000*V3,0)</f>
        <v>1026.5887285878582</v>
      </c>
      <c r="W26" s="33">
        <f>IF(Painel!$C$5&gt;=OPEX!W2,$D$149/1000*W3,0)</f>
        <v>1026.5887285878582</v>
      </c>
      <c r="X26" s="33">
        <f>IF(Painel!$C$5&gt;=OPEX!X2,$D$149/1000*X3,0)</f>
        <v>1026.5887285878582</v>
      </c>
      <c r="Y26" s="33">
        <f>IF(Painel!$C$5&gt;=OPEX!Y2,$D$149/1000*Y3,0)</f>
        <v>1026.5887285878582</v>
      </c>
      <c r="Z26" s="33">
        <f>IF(Painel!$C$5&gt;=OPEX!Z2,$D$149/1000*Z3,0)</f>
        <v>1026.5887285878582</v>
      </c>
      <c r="AA26" s="33">
        <f>IF(Painel!$C$5&gt;=OPEX!AA2,$D$149/1000*AA3,0)</f>
        <v>1026.5887285878582</v>
      </c>
      <c r="AB26" s="33">
        <f>IF(Painel!$C$5&gt;=OPEX!AB2,$D$149/1000*AB3,0)</f>
        <v>1026.5887285878582</v>
      </c>
      <c r="AC26" s="33">
        <f>IF(Painel!$C$5&gt;=OPEX!AC2,$D$149/1000*AC3,0)</f>
        <v>1026.5887285878582</v>
      </c>
      <c r="AD26" s="33">
        <f>IF(Painel!$C$5&gt;=OPEX!AD2,$D$149/1000*AD3,0)</f>
        <v>1026.5887285878582</v>
      </c>
      <c r="AE26" s="33">
        <f>IF(Painel!$C$5&gt;=OPEX!AE2,$D$149/1000*AE3,0)</f>
        <v>1026.5887285878582</v>
      </c>
      <c r="AF26" s="33">
        <f>IF(Painel!$C$5&gt;=OPEX!AF2,$D$149/1000*AF3,0)</f>
        <v>1026.5887285878582</v>
      </c>
      <c r="AG26" s="33">
        <f>IF(Painel!$C$5&gt;=OPEX!AG2,$D$149/1000*AG3,0)</f>
        <v>1026.5887285878582</v>
      </c>
      <c r="AH26" s="33">
        <f>IF(Painel!$C$5&gt;=OPEX!AH2,$D$149/1000*AH3,0)</f>
        <v>1026.5887285878582</v>
      </c>
      <c r="AI26" s="33">
        <f>IF(Painel!$C$5&gt;=OPEX!AI2,$D$149/1000*AI3,0)</f>
        <v>0</v>
      </c>
      <c r="AJ26" s="33">
        <f>IF(Painel!$C$5&gt;=OPEX!AJ2,$D$149/1000*AJ3,0)</f>
        <v>0</v>
      </c>
      <c r="AK26" s="33">
        <f>IF(Painel!$C$5&gt;=OPEX!AK2,$D$149/1000*AK3,0)</f>
        <v>0</v>
      </c>
      <c r="AL26" s="33">
        <f>IF(Painel!$C$5&gt;=OPEX!AL2,$D$149/1000*AL3,0)</f>
        <v>0</v>
      </c>
      <c r="AM26" s="33">
        <f>IF(Painel!$C$5&gt;=OPEX!AM2,$D$149/1000*AM3,0)</f>
        <v>0</v>
      </c>
      <c r="AN26" s="33">
        <f>IF(Painel!$C$5&gt;=OPEX!AN2,$D$149/1000*AN3,0)</f>
        <v>0</v>
      </c>
      <c r="AO26" s="36"/>
    </row>
    <row r="27" spans="1:41" ht="12" customHeight="1">
      <c r="A27" s="36"/>
      <c r="B27" s="36"/>
      <c r="C27" s="36"/>
      <c r="D27" s="610"/>
      <c r="E27" s="36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6"/>
    </row>
    <row r="28" spans="1:41" ht="12" customHeight="1">
      <c r="A28" s="617" t="s">
        <v>349</v>
      </c>
      <c r="B28" s="624"/>
      <c r="C28" s="625">
        <f>SUM(E28:AH28)</f>
        <v>181865.01781311532</v>
      </c>
      <c r="D28" s="611">
        <f>C28/$C$28</f>
        <v>1</v>
      </c>
      <c r="E28" s="66">
        <f>SUM(E9:E26)</f>
        <v>2187.3799393330023</v>
      </c>
      <c r="F28" s="66">
        <f t="shared" ref="F28:AN28" si="3">SUM(F9:F26)</f>
        <v>4687.2427271421484</v>
      </c>
      <c r="G28" s="66">
        <f t="shared" si="3"/>
        <v>6249.6569695228645</v>
      </c>
      <c r="H28" s="66">
        <f t="shared" si="3"/>
        <v>6249.6569695228645</v>
      </c>
      <c r="I28" s="66">
        <f t="shared" si="3"/>
        <v>6249.6569695228645</v>
      </c>
      <c r="J28" s="66">
        <f t="shared" si="3"/>
        <v>6249.6569695228645</v>
      </c>
      <c r="K28" s="66">
        <f t="shared" si="3"/>
        <v>6249.6569695228645</v>
      </c>
      <c r="L28" s="66">
        <f t="shared" si="3"/>
        <v>6249.6569695228645</v>
      </c>
      <c r="M28" s="66">
        <f t="shared" si="3"/>
        <v>6249.6569695228645</v>
      </c>
      <c r="N28" s="66">
        <f t="shared" si="3"/>
        <v>6249.6569695228645</v>
      </c>
      <c r="O28" s="66">
        <f t="shared" si="3"/>
        <v>6249.6569695228645</v>
      </c>
      <c r="P28" s="66">
        <f t="shared" si="3"/>
        <v>6249.6569695228645</v>
      </c>
      <c r="Q28" s="66">
        <f t="shared" si="3"/>
        <v>6249.6569695228645</v>
      </c>
      <c r="R28" s="66">
        <f t="shared" si="3"/>
        <v>6249.6569695228645</v>
      </c>
      <c r="S28" s="66">
        <f t="shared" si="3"/>
        <v>6249.6569695228645</v>
      </c>
      <c r="T28" s="66">
        <f t="shared" si="3"/>
        <v>6249.6569695228645</v>
      </c>
      <c r="U28" s="66">
        <f t="shared" si="3"/>
        <v>6249.6569695228645</v>
      </c>
      <c r="V28" s="66">
        <f t="shared" si="3"/>
        <v>6249.6569695228645</v>
      </c>
      <c r="W28" s="66">
        <f t="shared" si="3"/>
        <v>6249.6569695228645</v>
      </c>
      <c r="X28" s="66">
        <f t="shared" si="3"/>
        <v>6249.6569695228645</v>
      </c>
      <c r="Y28" s="66">
        <f t="shared" si="3"/>
        <v>6249.6569695228645</v>
      </c>
      <c r="Z28" s="66">
        <f t="shared" si="3"/>
        <v>6249.6569695228645</v>
      </c>
      <c r="AA28" s="66">
        <f t="shared" si="3"/>
        <v>6249.6569695228645</v>
      </c>
      <c r="AB28" s="66">
        <f t="shared" si="3"/>
        <v>6249.6569695228645</v>
      </c>
      <c r="AC28" s="66">
        <f t="shared" si="3"/>
        <v>6249.6569695228645</v>
      </c>
      <c r="AD28" s="66">
        <f t="shared" si="3"/>
        <v>6249.6569695228645</v>
      </c>
      <c r="AE28" s="66">
        <f t="shared" si="3"/>
        <v>6249.6569695228645</v>
      </c>
      <c r="AF28" s="66">
        <f t="shared" si="3"/>
        <v>6249.6569695228645</v>
      </c>
      <c r="AG28" s="66">
        <f t="shared" si="3"/>
        <v>6249.6569695228645</v>
      </c>
      <c r="AH28" s="66">
        <f t="shared" si="3"/>
        <v>6249.6569695228645</v>
      </c>
      <c r="AI28" s="66">
        <f t="shared" si="3"/>
        <v>0</v>
      </c>
      <c r="AJ28" s="66">
        <f t="shared" si="3"/>
        <v>0</v>
      </c>
      <c r="AK28" s="66">
        <f t="shared" si="3"/>
        <v>0</v>
      </c>
      <c r="AL28" s="66">
        <f t="shared" si="3"/>
        <v>0</v>
      </c>
      <c r="AM28" s="66">
        <f t="shared" si="3"/>
        <v>0</v>
      </c>
      <c r="AN28" s="66">
        <f t="shared" si="3"/>
        <v>0</v>
      </c>
      <c r="AO28" s="36"/>
    </row>
    <row r="29" spans="1:41" ht="12" customHeight="1">
      <c r="A29" s="626"/>
      <c r="B29" s="626"/>
      <c r="C29" s="647">
        <f>C28*1000</f>
        <v>181865017.81311533</v>
      </c>
      <c r="D29" s="101"/>
      <c r="E29" s="627"/>
      <c r="F29" s="627"/>
      <c r="G29" s="627"/>
      <c r="H29" s="627"/>
      <c r="I29" s="627"/>
      <c r="J29" s="627"/>
      <c r="K29" s="627"/>
      <c r="L29" s="627"/>
      <c r="M29" s="627"/>
      <c r="N29" s="627"/>
      <c r="O29" s="627"/>
      <c r="P29" s="627"/>
      <c r="Q29" s="627"/>
      <c r="R29" s="627"/>
      <c r="S29" s="627"/>
      <c r="T29" s="627"/>
      <c r="U29" s="627"/>
      <c r="V29" s="627"/>
      <c r="W29" s="627"/>
      <c r="X29" s="627"/>
      <c r="Y29" s="627"/>
      <c r="Z29" s="627"/>
      <c r="AA29" s="627"/>
      <c r="AB29" s="627"/>
      <c r="AC29" s="627"/>
      <c r="AD29" s="627"/>
      <c r="AE29" s="627"/>
      <c r="AF29" s="627"/>
      <c r="AG29" s="627"/>
      <c r="AH29" s="627"/>
      <c r="AI29" s="627"/>
      <c r="AJ29" s="627"/>
      <c r="AK29" s="627"/>
      <c r="AL29" s="627"/>
      <c r="AM29" s="627"/>
      <c r="AN29" s="627"/>
      <c r="AO29" s="36"/>
    </row>
    <row r="30" spans="1:41" ht="12" customHeight="1">
      <c r="A30" s="74" t="s">
        <v>350</v>
      </c>
      <c r="B30" s="60"/>
      <c r="C30" s="648">
        <f>C29/30</f>
        <v>6062167.2604371775</v>
      </c>
      <c r="D30" s="73"/>
      <c r="E30" s="98"/>
      <c r="F30" s="98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</row>
    <row r="31" spans="1:41" ht="12" customHeight="1">
      <c r="A31" s="75"/>
      <c r="B31" s="100" t="s">
        <v>346</v>
      </c>
      <c r="C31" s="612" t="s">
        <v>347</v>
      </c>
      <c r="D31" s="73"/>
      <c r="E31" s="73"/>
      <c r="F31" s="73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99"/>
    </row>
    <row r="32" spans="1:41" ht="12" customHeight="1">
      <c r="A32" s="100" t="s">
        <v>18</v>
      </c>
      <c r="C32" s="301">
        <f>SUM(E32:AH32)</f>
        <v>0</v>
      </c>
      <c r="D32" s="609">
        <f>C32/$C$52</f>
        <v>0</v>
      </c>
      <c r="E32" s="73"/>
      <c r="F32" s="33">
        <f>E32*1.025</f>
        <v>0</v>
      </c>
      <c r="G32" s="33">
        <f t="shared" ref="G32" si="4">F32*1.025</f>
        <v>0</v>
      </c>
      <c r="H32" s="33">
        <f t="shared" ref="H32" si="5">G32*1.025</f>
        <v>0</v>
      </c>
      <c r="I32" s="33">
        <f t="shared" ref="I32" si="6">H32*1.025</f>
        <v>0</v>
      </c>
      <c r="J32" s="33">
        <f t="shared" ref="J32" si="7">I32*1.025</f>
        <v>0</v>
      </c>
      <c r="K32" s="33">
        <f t="shared" ref="K32" si="8">J32*1.025</f>
        <v>0</v>
      </c>
      <c r="L32" s="33">
        <f t="shared" ref="L32" si="9">K32*1.025</f>
        <v>0</v>
      </c>
      <c r="M32" s="33">
        <f t="shared" ref="M32" si="10">L32*1.025</f>
        <v>0</v>
      </c>
      <c r="N32" s="33">
        <f t="shared" ref="N32" si="11">M32*1.025</f>
        <v>0</v>
      </c>
      <c r="O32" s="33">
        <f t="shared" ref="O32" si="12">N32*1.025</f>
        <v>0</v>
      </c>
      <c r="P32" s="33">
        <f t="shared" ref="P32" si="13">O32*1.025</f>
        <v>0</v>
      </c>
      <c r="Q32" s="33">
        <f t="shared" ref="Q32" si="14">P32*1.025</f>
        <v>0</v>
      </c>
      <c r="R32" s="33">
        <f t="shared" ref="R32" si="15">Q32*1.025</f>
        <v>0</v>
      </c>
      <c r="S32" s="33">
        <f t="shared" ref="S32" si="16">R32*1.025</f>
        <v>0</v>
      </c>
      <c r="T32" s="33">
        <f t="shared" ref="T32" si="17">S32*1.025</f>
        <v>0</v>
      </c>
      <c r="U32" s="33">
        <f t="shared" ref="U32" si="18">T32*1.025</f>
        <v>0</v>
      </c>
      <c r="V32" s="33">
        <f t="shared" ref="V32" si="19">U32*1.025</f>
        <v>0</v>
      </c>
      <c r="W32" s="33">
        <f t="shared" ref="W32" si="20">V32*1.025</f>
        <v>0</v>
      </c>
      <c r="X32" s="33">
        <f t="shared" ref="X32" si="21">W32*1.025</f>
        <v>0</v>
      </c>
      <c r="Y32" s="33">
        <f t="shared" ref="Y32" si="22">X32*1.025</f>
        <v>0</v>
      </c>
      <c r="Z32" s="33">
        <f t="shared" ref="Z32" si="23">Y32*1.025</f>
        <v>0</v>
      </c>
      <c r="AA32" s="33">
        <f t="shared" ref="AA32" si="24">Z32*1.025</f>
        <v>0</v>
      </c>
      <c r="AB32" s="33">
        <f t="shared" ref="AB32" si="25">AA32*1.025</f>
        <v>0</v>
      </c>
      <c r="AC32" s="33">
        <f t="shared" ref="AC32" si="26">AB32*1.025</f>
        <v>0</v>
      </c>
      <c r="AD32" s="33">
        <f t="shared" ref="AD32" si="27">AC32*1.025</f>
        <v>0</v>
      </c>
      <c r="AE32" s="33">
        <f t="shared" ref="AE32" si="28">AD32*1.025</f>
        <v>0</v>
      </c>
      <c r="AF32" s="33">
        <f t="shared" ref="AF32" si="29">AE32*1.025</f>
        <v>0</v>
      </c>
      <c r="AG32" s="33">
        <f t="shared" ref="AG32" si="30">AF32*1.025</f>
        <v>0</v>
      </c>
      <c r="AH32" s="33">
        <f t="shared" ref="AH32" si="31">AG32*1.025</f>
        <v>0</v>
      </c>
      <c r="AI32" s="33"/>
      <c r="AJ32" s="33"/>
      <c r="AK32" s="33"/>
      <c r="AL32" s="33">
        <f t="shared" ref="AL32" si="32">AK32*1.025</f>
        <v>0</v>
      </c>
      <c r="AM32" s="33">
        <f t="shared" ref="AM32" si="33">AL32*1.025</f>
        <v>0</v>
      </c>
      <c r="AN32" s="84"/>
      <c r="AO32" s="36"/>
    </row>
    <row r="33" spans="1:41" ht="12" customHeight="1">
      <c r="A33" s="100" t="s">
        <v>22</v>
      </c>
      <c r="B33" s="36"/>
      <c r="C33" s="301">
        <f>SUM(E33:AH33)</f>
        <v>11345.729620119333</v>
      </c>
      <c r="D33" s="609">
        <f t="shared" ref="D33:D52" si="34">C33/$C$52</f>
        <v>5.1998750404884088E-2</v>
      </c>
      <c r="E33" s="33">
        <f>E9*0.8</f>
        <v>91.339973940006175</v>
      </c>
      <c r="F33" s="33">
        <f t="shared" ref="F33:AM40" si="35">F9*1.2</f>
        <v>293.59277337859129</v>
      </c>
      <c r="G33" s="33">
        <f t="shared" si="35"/>
        <v>391.45703117145501</v>
      </c>
      <c r="H33" s="33">
        <f t="shared" si="35"/>
        <v>391.45703117145501</v>
      </c>
      <c r="I33" s="33">
        <f t="shared" si="35"/>
        <v>391.45703117145501</v>
      </c>
      <c r="J33" s="33">
        <f t="shared" si="35"/>
        <v>391.45703117145501</v>
      </c>
      <c r="K33" s="33">
        <f t="shared" si="35"/>
        <v>391.45703117145501</v>
      </c>
      <c r="L33" s="33">
        <f t="shared" si="35"/>
        <v>391.45703117145501</v>
      </c>
      <c r="M33" s="33">
        <f t="shared" si="35"/>
        <v>391.45703117145501</v>
      </c>
      <c r="N33" s="33">
        <f t="shared" si="35"/>
        <v>391.45703117145501</v>
      </c>
      <c r="O33" s="33">
        <f t="shared" si="35"/>
        <v>391.45703117145501</v>
      </c>
      <c r="P33" s="33">
        <f t="shared" si="35"/>
        <v>391.45703117145501</v>
      </c>
      <c r="Q33" s="33">
        <f t="shared" si="35"/>
        <v>391.45703117145501</v>
      </c>
      <c r="R33" s="33">
        <f t="shared" si="35"/>
        <v>391.45703117145501</v>
      </c>
      <c r="S33" s="33">
        <f t="shared" si="35"/>
        <v>391.45703117145501</v>
      </c>
      <c r="T33" s="33">
        <f t="shared" si="35"/>
        <v>391.45703117145501</v>
      </c>
      <c r="U33" s="33">
        <f t="shared" si="35"/>
        <v>391.45703117145501</v>
      </c>
      <c r="V33" s="33">
        <f t="shared" si="35"/>
        <v>391.45703117145501</v>
      </c>
      <c r="W33" s="33">
        <f t="shared" si="35"/>
        <v>391.45703117145501</v>
      </c>
      <c r="X33" s="33">
        <f t="shared" si="35"/>
        <v>391.45703117145501</v>
      </c>
      <c r="Y33" s="33">
        <f t="shared" si="35"/>
        <v>391.45703117145501</v>
      </c>
      <c r="Z33" s="33">
        <f t="shared" si="35"/>
        <v>391.45703117145501</v>
      </c>
      <c r="AA33" s="33">
        <f t="shared" si="35"/>
        <v>391.45703117145501</v>
      </c>
      <c r="AB33" s="33">
        <f t="shared" si="35"/>
        <v>391.45703117145501</v>
      </c>
      <c r="AC33" s="33">
        <f t="shared" si="35"/>
        <v>391.45703117145501</v>
      </c>
      <c r="AD33" s="33">
        <f t="shared" si="35"/>
        <v>391.45703117145501</v>
      </c>
      <c r="AE33" s="33">
        <f t="shared" si="35"/>
        <v>391.45703117145501</v>
      </c>
      <c r="AF33" s="33">
        <f t="shared" si="35"/>
        <v>391.45703117145501</v>
      </c>
      <c r="AG33" s="33">
        <f t="shared" si="35"/>
        <v>391.45703117145501</v>
      </c>
      <c r="AH33" s="33">
        <f t="shared" si="35"/>
        <v>391.45703117145501</v>
      </c>
      <c r="AI33" s="33">
        <f t="shared" si="35"/>
        <v>0</v>
      </c>
      <c r="AJ33" s="33">
        <f t="shared" si="35"/>
        <v>0</v>
      </c>
      <c r="AK33" s="33">
        <f t="shared" si="35"/>
        <v>0</v>
      </c>
      <c r="AL33" s="33">
        <f t="shared" si="35"/>
        <v>0</v>
      </c>
      <c r="AM33" s="33">
        <f t="shared" si="35"/>
        <v>0</v>
      </c>
      <c r="AN33" s="33" t="e">
        <f>AN9/Painel!#REF!</f>
        <v>#REF!</v>
      </c>
      <c r="AO33" s="33">
        <f>AN107</f>
        <v>0</v>
      </c>
    </row>
    <row r="34" spans="1:41" ht="12" customHeight="1">
      <c r="A34" s="100" t="s">
        <v>26</v>
      </c>
      <c r="B34" s="36"/>
      <c r="C34" s="301">
        <f t="shared" ref="C34:C50" si="36">SUM(E34:AH34)</f>
        <v>4882.6856190722201</v>
      </c>
      <c r="D34" s="609">
        <f t="shared" si="34"/>
        <v>2.2377895411981704E-2</v>
      </c>
      <c r="E34" s="33">
        <f t="shared" ref="E34:T51" si="37">E10*1.2</f>
        <v>58.726459335920126</v>
      </c>
      <c r="F34" s="33">
        <f t="shared" si="37"/>
        <v>125.84241286268599</v>
      </c>
      <c r="G34" s="33">
        <f t="shared" si="37"/>
        <v>167.78988381691465</v>
      </c>
      <c r="H34" s="33">
        <f t="shared" si="37"/>
        <v>167.78988381691465</v>
      </c>
      <c r="I34" s="33">
        <f t="shared" si="37"/>
        <v>167.78988381691465</v>
      </c>
      <c r="J34" s="33">
        <f t="shared" si="37"/>
        <v>167.78988381691465</v>
      </c>
      <c r="K34" s="33">
        <f t="shared" si="37"/>
        <v>167.78988381691465</v>
      </c>
      <c r="L34" s="33">
        <f t="shared" si="37"/>
        <v>167.78988381691465</v>
      </c>
      <c r="M34" s="33">
        <f t="shared" si="37"/>
        <v>167.78988381691465</v>
      </c>
      <c r="N34" s="33">
        <f t="shared" si="37"/>
        <v>167.78988381691465</v>
      </c>
      <c r="O34" s="33">
        <f t="shared" si="37"/>
        <v>167.78988381691465</v>
      </c>
      <c r="P34" s="33">
        <f t="shared" si="37"/>
        <v>167.78988381691465</v>
      </c>
      <c r="Q34" s="33">
        <f t="shared" si="37"/>
        <v>167.78988381691465</v>
      </c>
      <c r="R34" s="33">
        <f t="shared" si="37"/>
        <v>167.78988381691465</v>
      </c>
      <c r="S34" s="33">
        <f t="shared" si="37"/>
        <v>167.78988381691465</v>
      </c>
      <c r="T34" s="33">
        <f t="shared" si="37"/>
        <v>167.78988381691465</v>
      </c>
      <c r="U34" s="33">
        <f t="shared" si="35"/>
        <v>167.78988381691465</v>
      </c>
      <c r="V34" s="33">
        <f t="shared" si="35"/>
        <v>167.78988381691465</v>
      </c>
      <c r="W34" s="33">
        <f t="shared" si="35"/>
        <v>167.78988381691465</v>
      </c>
      <c r="X34" s="33">
        <f t="shared" si="35"/>
        <v>167.78988381691465</v>
      </c>
      <c r="Y34" s="33">
        <f t="shared" si="35"/>
        <v>167.78988381691465</v>
      </c>
      <c r="Z34" s="33">
        <f t="shared" si="35"/>
        <v>167.78988381691465</v>
      </c>
      <c r="AA34" s="33">
        <f t="shared" si="35"/>
        <v>167.78988381691465</v>
      </c>
      <c r="AB34" s="33">
        <f t="shared" si="35"/>
        <v>167.78988381691465</v>
      </c>
      <c r="AC34" s="33">
        <f t="shared" si="35"/>
        <v>167.78988381691465</v>
      </c>
      <c r="AD34" s="33">
        <f t="shared" si="35"/>
        <v>167.78988381691465</v>
      </c>
      <c r="AE34" s="33">
        <f t="shared" si="35"/>
        <v>167.78988381691465</v>
      </c>
      <c r="AF34" s="33">
        <f t="shared" si="35"/>
        <v>167.78988381691465</v>
      </c>
      <c r="AG34" s="33">
        <f t="shared" si="35"/>
        <v>167.78988381691465</v>
      </c>
      <c r="AH34" s="33">
        <f t="shared" si="35"/>
        <v>167.78988381691465</v>
      </c>
      <c r="AI34" s="33">
        <f t="shared" si="35"/>
        <v>0</v>
      </c>
      <c r="AJ34" s="33">
        <f t="shared" si="35"/>
        <v>0</v>
      </c>
      <c r="AK34" s="33">
        <f t="shared" si="35"/>
        <v>0</v>
      </c>
      <c r="AL34" s="33">
        <f t="shared" si="35"/>
        <v>0</v>
      </c>
      <c r="AM34" s="33">
        <f t="shared" si="35"/>
        <v>0</v>
      </c>
      <c r="AN34" s="33" t="e">
        <f>AN10*Painel!#REF!</f>
        <v>#REF!</v>
      </c>
      <c r="AO34" s="36"/>
    </row>
    <row r="35" spans="1:41" ht="12" customHeight="1">
      <c r="A35" s="100" t="s">
        <v>30</v>
      </c>
      <c r="B35" s="36"/>
      <c r="C35" s="301">
        <f t="shared" si="36"/>
        <v>2390.0755860677627</v>
      </c>
      <c r="D35" s="609">
        <f t="shared" si="34"/>
        <v>1.0953984275137123E-2</v>
      </c>
      <c r="E35" s="33">
        <f t="shared" si="37"/>
        <v>28.746613578134589</v>
      </c>
      <c r="F35" s="33">
        <f t="shared" si="35"/>
        <v>61.599886238859845</v>
      </c>
      <c r="G35" s="33">
        <f t="shared" si="35"/>
        <v>82.133181651813118</v>
      </c>
      <c r="H35" s="33">
        <f t="shared" si="35"/>
        <v>82.133181651813118</v>
      </c>
      <c r="I35" s="33">
        <f t="shared" si="35"/>
        <v>82.133181651813118</v>
      </c>
      <c r="J35" s="33">
        <f t="shared" si="35"/>
        <v>82.133181651813118</v>
      </c>
      <c r="K35" s="33">
        <f t="shared" si="35"/>
        <v>82.133181651813118</v>
      </c>
      <c r="L35" s="33">
        <f t="shared" si="35"/>
        <v>82.133181651813118</v>
      </c>
      <c r="M35" s="33">
        <f t="shared" si="35"/>
        <v>82.133181651813118</v>
      </c>
      <c r="N35" s="33">
        <f t="shared" si="35"/>
        <v>82.133181651813118</v>
      </c>
      <c r="O35" s="33">
        <f t="shared" si="35"/>
        <v>82.133181651813118</v>
      </c>
      <c r="P35" s="33">
        <f t="shared" si="35"/>
        <v>82.133181651813118</v>
      </c>
      <c r="Q35" s="33">
        <f t="shared" si="35"/>
        <v>82.133181651813118</v>
      </c>
      <c r="R35" s="33">
        <f t="shared" si="35"/>
        <v>82.133181651813118</v>
      </c>
      <c r="S35" s="33">
        <f t="shared" si="35"/>
        <v>82.133181651813118</v>
      </c>
      <c r="T35" s="33">
        <f t="shared" si="35"/>
        <v>82.133181651813118</v>
      </c>
      <c r="U35" s="33">
        <f t="shared" si="35"/>
        <v>82.133181651813118</v>
      </c>
      <c r="V35" s="33">
        <f t="shared" si="35"/>
        <v>82.133181651813118</v>
      </c>
      <c r="W35" s="33">
        <f t="shared" si="35"/>
        <v>82.133181651813118</v>
      </c>
      <c r="X35" s="33">
        <f t="shared" si="35"/>
        <v>82.133181651813118</v>
      </c>
      <c r="Y35" s="33">
        <f t="shared" si="35"/>
        <v>82.133181651813118</v>
      </c>
      <c r="Z35" s="33">
        <f t="shared" si="35"/>
        <v>82.133181651813118</v>
      </c>
      <c r="AA35" s="33">
        <f t="shared" si="35"/>
        <v>82.133181651813118</v>
      </c>
      <c r="AB35" s="33">
        <f t="shared" si="35"/>
        <v>82.133181651813118</v>
      </c>
      <c r="AC35" s="33">
        <f t="shared" si="35"/>
        <v>82.133181651813118</v>
      </c>
      <c r="AD35" s="33">
        <f t="shared" si="35"/>
        <v>82.133181651813118</v>
      </c>
      <c r="AE35" s="33">
        <f t="shared" si="35"/>
        <v>82.133181651813118</v>
      </c>
      <c r="AF35" s="33">
        <f t="shared" si="35"/>
        <v>82.133181651813118</v>
      </c>
      <c r="AG35" s="33">
        <f t="shared" si="35"/>
        <v>82.133181651813118</v>
      </c>
      <c r="AH35" s="33">
        <f t="shared" si="35"/>
        <v>82.133181651813118</v>
      </c>
      <c r="AI35" s="33">
        <f t="shared" si="35"/>
        <v>0</v>
      </c>
      <c r="AJ35" s="33">
        <f t="shared" si="35"/>
        <v>0</v>
      </c>
      <c r="AK35" s="33">
        <f t="shared" si="35"/>
        <v>0</v>
      </c>
      <c r="AL35" s="33">
        <f t="shared" si="35"/>
        <v>0</v>
      </c>
      <c r="AM35" s="33">
        <f t="shared" si="35"/>
        <v>0</v>
      </c>
      <c r="AN35" s="33" t="e">
        <f>AN11*Painel!#REF!</f>
        <v>#REF!</v>
      </c>
      <c r="AO35" s="36"/>
    </row>
    <row r="36" spans="1:41" ht="12" customHeight="1">
      <c r="A36" s="100" t="s">
        <v>35</v>
      </c>
      <c r="B36" s="36"/>
      <c r="C36" s="301">
        <f t="shared" si="36"/>
        <v>9747.7390210215763</v>
      </c>
      <c r="D36" s="609">
        <f t="shared" si="34"/>
        <v>4.467498039678465E-2</v>
      </c>
      <c r="E36" s="33">
        <f t="shared" si="37"/>
        <v>117.24084733187468</v>
      </c>
      <c r="F36" s="33">
        <f t="shared" si="35"/>
        <v>251.23038713973145</v>
      </c>
      <c r="G36" s="33">
        <f t="shared" si="35"/>
        <v>334.97384951964193</v>
      </c>
      <c r="H36" s="33">
        <f t="shared" si="35"/>
        <v>334.97384951964193</v>
      </c>
      <c r="I36" s="33">
        <f t="shared" si="35"/>
        <v>334.97384951964193</v>
      </c>
      <c r="J36" s="33">
        <f t="shared" si="35"/>
        <v>334.97384951964193</v>
      </c>
      <c r="K36" s="33">
        <f t="shared" si="35"/>
        <v>334.97384951964193</v>
      </c>
      <c r="L36" s="33">
        <f t="shared" si="35"/>
        <v>334.97384951964193</v>
      </c>
      <c r="M36" s="33">
        <f t="shared" si="35"/>
        <v>334.97384951964193</v>
      </c>
      <c r="N36" s="33">
        <f t="shared" si="35"/>
        <v>334.97384951964193</v>
      </c>
      <c r="O36" s="33">
        <f t="shared" si="35"/>
        <v>334.97384951964193</v>
      </c>
      <c r="P36" s="33">
        <f t="shared" si="35"/>
        <v>334.97384951964193</v>
      </c>
      <c r="Q36" s="33">
        <f t="shared" si="35"/>
        <v>334.97384951964193</v>
      </c>
      <c r="R36" s="33">
        <f t="shared" si="35"/>
        <v>334.97384951964193</v>
      </c>
      <c r="S36" s="33">
        <f t="shared" si="35"/>
        <v>334.97384951964193</v>
      </c>
      <c r="T36" s="33">
        <f t="shared" si="35"/>
        <v>334.97384951964193</v>
      </c>
      <c r="U36" s="33">
        <f t="shared" si="35"/>
        <v>334.97384951964193</v>
      </c>
      <c r="V36" s="33">
        <f t="shared" si="35"/>
        <v>334.97384951964193</v>
      </c>
      <c r="W36" s="33">
        <f t="shared" si="35"/>
        <v>334.97384951964193</v>
      </c>
      <c r="X36" s="33">
        <f t="shared" si="35"/>
        <v>334.97384951964193</v>
      </c>
      <c r="Y36" s="33">
        <f t="shared" si="35"/>
        <v>334.97384951964193</v>
      </c>
      <c r="Z36" s="33">
        <f t="shared" si="35"/>
        <v>334.97384951964193</v>
      </c>
      <c r="AA36" s="33">
        <f t="shared" si="35"/>
        <v>334.97384951964193</v>
      </c>
      <c r="AB36" s="33">
        <f t="shared" si="35"/>
        <v>334.97384951964193</v>
      </c>
      <c r="AC36" s="33">
        <f t="shared" si="35"/>
        <v>334.97384951964193</v>
      </c>
      <c r="AD36" s="33">
        <f t="shared" si="35"/>
        <v>334.97384951964193</v>
      </c>
      <c r="AE36" s="33">
        <f t="shared" si="35"/>
        <v>334.97384951964193</v>
      </c>
      <c r="AF36" s="33">
        <f t="shared" si="35"/>
        <v>334.97384951964193</v>
      </c>
      <c r="AG36" s="33">
        <f t="shared" si="35"/>
        <v>334.97384951964193</v>
      </c>
      <c r="AH36" s="33">
        <f t="shared" si="35"/>
        <v>334.97384951964193</v>
      </c>
      <c r="AI36" s="33">
        <f t="shared" si="35"/>
        <v>0</v>
      </c>
      <c r="AJ36" s="33">
        <f t="shared" si="35"/>
        <v>0</v>
      </c>
      <c r="AK36" s="33">
        <f t="shared" si="35"/>
        <v>0</v>
      </c>
      <c r="AL36" s="33">
        <f t="shared" si="35"/>
        <v>0</v>
      </c>
      <c r="AM36" s="33">
        <f t="shared" si="35"/>
        <v>0</v>
      </c>
      <c r="AN36" s="33" t="e">
        <f>AN12*Painel!#REF!</f>
        <v>#REF!</v>
      </c>
      <c r="AO36" s="36"/>
    </row>
    <row r="37" spans="1:41" ht="12" customHeight="1">
      <c r="A37" s="100" t="s">
        <v>41</v>
      </c>
      <c r="B37" s="36"/>
      <c r="C37" s="301">
        <f t="shared" si="36"/>
        <v>5875.1706806810516</v>
      </c>
      <c r="D37" s="609">
        <f t="shared" si="34"/>
        <v>2.6926565680631277E-2</v>
      </c>
      <c r="E37" s="33">
        <f t="shared" si="37"/>
        <v>70.663564887916436</v>
      </c>
      <c r="F37" s="33">
        <f t="shared" si="35"/>
        <v>151.42192475982097</v>
      </c>
      <c r="G37" s="33">
        <f t="shared" si="35"/>
        <v>201.89589967976127</v>
      </c>
      <c r="H37" s="33">
        <f t="shared" si="35"/>
        <v>201.89589967976127</v>
      </c>
      <c r="I37" s="33">
        <f t="shared" si="35"/>
        <v>201.89589967976127</v>
      </c>
      <c r="J37" s="33">
        <f t="shared" si="35"/>
        <v>201.89589967976127</v>
      </c>
      <c r="K37" s="33">
        <f t="shared" si="35"/>
        <v>201.89589967976127</v>
      </c>
      <c r="L37" s="33">
        <f t="shared" si="35"/>
        <v>201.89589967976127</v>
      </c>
      <c r="M37" s="33">
        <f t="shared" si="35"/>
        <v>201.89589967976127</v>
      </c>
      <c r="N37" s="33">
        <f t="shared" si="35"/>
        <v>201.89589967976127</v>
      </c>
      <c r="O37" s="33">
        <f t="shared" si="35"/>
        <v>201.89589967976127</v>
      </c>
      <c r="P37" s="33">
        <f t="shared" si="35"/>
        <v>201.89589967976127</v>
      </c>
      <c r="Q37" s="33">
        <f t="shared" si="35"/>
        <v>201.89589967976127</v>
      </c>
      <c r="R37" s="33">
        <f t="shared" si="35"/>
        <v>201.89589967976127</v>
      </c>
      <c r="S37" s="33">
        <f t="shared" si="35"/>
        <v>201.89589967976127</v>
      </c>
      <c r="T37" s="33">
        <f t="shared" si="35"/>
        <v>201.89589967976127</v>
      </c>
      <c r="U37" s="33">
        <f t="shared" si="35"/>
        <v>201.89589967976127</v>
      </c>
      <c r="V37" s="33">
        <f t="shared" si="35"/>
        <v>201.89589967976127</v>
      </c>
      <c r="W37" s="33">
        <f t="shared" si="35"/>
        <v>201.89589967976127</v>
      </c>
      <c r="X37" s="33">
        <f t="shared" si="35"/>
        <v>201.89589967976127</v>
      </c>
      <c r="Y37" s="33">
        <f t="shared" si="35"/>
        <v>201.89589967976127</v>
      </c>
      <c r="Z37" s="33">
        <f t="shared" si="35"/>
        <v>201.89589967976127</v>
      </c>
      <c r="AA37" s="33">
        <f t="shared" si="35"/>
        <v>201.89589967976127</v>
      </c>
      <c r="AB37" s="33">
        <f t="shared" si="35"/>
        <v>201.89589967976127</v>
      </c>
      <c r="AC37" s="33">
        <f t="shared" si="35"/>
        <v>201.89589967976127</v>
      </c>
      <c r="AD37" s="33">
        <f t="shared" si="35"/>
        <v>201.89589967976127</v>
      </c>
      <c r="AE37" s="33">
        <f t="shared" si="35"/>
        <v>201.89589967976127</v>
      </c>
      <c r="AF37" s="33">
        <f t="shared" si="35"/>
        <v>201.89589967976127</v>
      </c>
      <c r="AG37" s="33">
        <f t="shared" si="35"/>
        <v>201.89589967976127</v>
      </c>
      <c r="AH37" s="33">
        <f t="shared" si="35"/>
        <v>201.89589967976127</v>
      </c>
      <c r="AI37" s="33">
        <f t="shared" si="35"/>
        <v>0</v>
      </c>
      <c r="AJ37" s="33">
        <f t="shared" si="35"/>
        <v>0</v>
      </c>
      <c r="AK37" s="33">
        <f t="shared" si="35"/>
        <v>0</v>
      </c>
      <c r="AL37" s="33">
        <f t="shared" si="35"/>
        <v>0</v>
      </c>
      <c r="AM37" s="33">
        <f t="shared" si="35"/>
        <v>0</v>
      </c>
      <c r="AN37" s="33" t="e">
        <f>AN13*Painel!#REF!</f>
        <v>#REF!</v>
      </c>
      <c r="AO37" s="36"/>
    </row>
    <row r="38" spans="1:41" ht="12" customHeight="1">
      <c r="A38" s="100" t="s">
        <v>45</v>
      </c>
      <c r="B38" s="36"/>
      <c r="C38" s="301">
        <f t="shared" si="36"/>
        <v>0</v>
      </c>
      <c r="D38" s="609">
        <f t="shared" si="34"/>
        <v>0</v>
      </c>
      <c r="E38" s="33">
        <f t="shared" si="37"/>
        <v>0</v>
      </c>
      <c r="F38" s="33">
        <f t="shared" si="35"/>
        <v>0</v>
      </c>
      <c r="G38" s="33">
        <f t="shared" si="35"/>
        <v>0</v>
      </c>
      <c r="H38" s="33">
        <f t="shared" si="35"/>
        <v>0</v>
      </c>
      <c r="I38" s="33">
        <f t="shared" si="35"/>
        <v>0</v>
      </c>
      <c r="J38" s="33">
        <f t="shared" si="35"/>
        <v>0</v>
      </c>
      <c r="K38" s="33">
        <f t="shared" si="35"/>
        <v>0</v>
      </c>
      <c r="L38" s="33">
        <f t="shared" si="35"/>
        <v>0</v>
      </c>
      <c r="M38" s="33">
        <f t="shared" si="35"/>
        <v>0</v>
      </c>
      <c r="N38" s="33">
        <f t="shared" si="35"/>
        <v>0</v>
      </c>
      <c r="O38" s="33">
        <f t="shared" si="35"/>
        <v>0</v>
      </c>
      <c r="P38" s="33">
        <f t="shared" si="35"/>
        <v>0</v>
      </c>
      <c r="Q38" s="33">
        <f t="shared" si="35"/>
        <v>0</v>
      </c>
      <c r="R38" s="33">
        <f t="shared" si="35"/>
        <v>0</v>
      </c>
      <c r="S38" s="33">
        <f t="shared" si="35"/>
        <v>0</v>
      </c>
      <c r="T38" s="33">
        <f t="shared" si="35"/>
        <v>0</v>
      </c>
      <c r="U38" s="33">
        <f t="shared" si="35"/>
        <v>0</v>
      </c>
      <c r="V38" s="33">
        <f t="shared" si="35"/>
        <v>0</v>
      </c>
      <c r="W38" s="33">
        <f t="shared" si="35"/>
        <v>0</v>
      </c>
      <c r="X38" s="33">
        <f t="shared" si="35"/>
        <v>0</v>
      </c>
      <c r="Y38" s="33">
        <f t="shared" si="35"/>
        <v>0</v>
      </c>
      <c r="Z38" s="33">
        <f t="shared" si="35"/>
        <v>0</v>
      </c>
      <c r="AA38" s="33">
        <f t="shared" si="35"/>
        <v>0</v>
      </c>
      <c r="AB38" s="33">
        <f t="shared" si="35"/>
        <v>0</v>
      </c>
      <c r="AC38" s="33">
        <f t="shared" si="35"/>
        <v>0</v>
      </c>
      <c r="AD38" s="33">
        <f t="shared" si="35"/>
        <v>0</v>
      </c>
      <c r="AE38" s="33">
        <f t="shared" si="35"/>
        <v>0</v>
      </c>
      <c r="AF38" s="33">
        <f t="shared" si="35"/>
        <v>0</v>
      </c>
      <c r="AG38" s="33">
        <f t="shared" si="35"/>
        <v>0</v>
      </c>
      <c r="AH38" s="33">
        <f t="shared" si="35"/>
        <v>0</v>
      </c>
      <c r="AI38" s="33">
        <f t="shared" si="35"/>
        <v>0</v>
      </c>
      <c r="AJ38" s="33">
        <f t="shared" si="35"/>
        <v>0</v>
      </c>
      <c r="AK38" s="33">
        <f t="shared" si="35"/>
        <v>0</v>
      </c>
      <c r="AL38" s="33">
        <f t="shared" si="35"/>
        <v>0</v>
      </c>
      <c r="AM38" s="33">
        <f t="shared" si="35"/>
        <v>0</v>
      </c>
      <c r="AN38" s="33" t="e">
        <f>AN14*Painel!#REF!</f>
        <v>#REF!</v>
      </c>
      <c r="AO38" s="36"/>
    </row>
    <row r="39" spans="1:41" ht="12" customHeight="1">
      <c r="A39" s="100" t="s">
        <v>49</v>
      </c>
      <c r="B39" s="36"/>
      <c r="C39" s="301">
        <f t="shared" si="36"/>
        <v>6764.6780208268356</v>
      </c>
      <c r="D39" s="609">
        <f t="shared" si="34"/>
        <v>3.1003277510739783E-2</v>
      </c>
      <c r="E39" s="33">
        <f t="shared" si="37"/>
        <v>81.362106779704163</v>
      </c>
      <c r="F39" s="33">
        <f t="shared" si="35"/>
        <v>174.34737167079464</v>
      </c>
      <c r="G39" s="33">
        <f t="shared" si="35"/>
        <v>232.4631622277262</v>
      </c>
      <c r="H39" s="33">
        <f t="shared" si="35"/>
        <v>232.4631622277262</v>
      </c>
      <c r="I39" s="33">
        <f t="shared" si="35"/>
        <v>232.4631622277262</v>
      </c>
      <c r="J39" s="33">
        <f t="shared" si="35"/>
        <v>232.4631622277262</v>
      </c>
      <c r="K39" s="33">
        <f t="shared" si="35"/>
        <v>232.4631622277262</v>
      </c>
      <c r="L39" s="33">
        <f t="shared" si="35"/>
        <v>232.4631622277262</v>
      </c>
      <c r="M39" s="33">
        <f t="shared" si="35"/>
        <v>232.4631622277262</v>
      </c>
      <c r="N39" s="33">
        <f t="shared" si="35"/>
        <v>232.4631622277262</v>
      </c>
      <c r="O39" s="33">
        <f t="shared" si="35"/>
        <v>232.4631622277262</v>
      </c>
      <c r="P39" s="33">
        <f t="shared" si="35"/>
        <v>232.4631622277262</v>
      </c>
      <c r="Q39" s="33">
        <f t="shared" si="35"/>
        <v>232.4631622277262</v>
      </c>
      <c r="R39" s="33">
        <f t="shared" si="35"/>
        <v>232.4631622277262</v>
      </c>
      <c r="S39" s="33">
        <f t="shared" si="35"/>
        <v>232.4631622277262</v>
      </c>
      <c r="T39" s="33">
        <f t="shared" si="35"/>
        <v>232.4631622277262</v>
      </c>
      <c r="U39" s="33">
        <f t="shared" si="35"/>
        <v>232.4631622277262</v>
      </c>
      <c r="V39" s="33">
        <f t="shared" si="35"/>
        <v>232.4631622277262</v>
      </c>
      <c r="W39" s="33">
        <f t="shared" si="35"/>
        <v>232.4631622277262</v>
      </c>
      <c r="X39" s="33">
        <f t="shared" si="35"/>
        <v>232.4631622277262</v>
      </c>
      <c r="Y39" s="33">
        <f t="shared" si="35"/>
        <v>232.4631622277262</v>
      </c>
      <c r="Z39" s="33">
        <f t="shared" si="35"/>
        <v>232.4631622277262</v>
      </c>
      <c r="AA39" s="33">
        <f t="shared" si="35"/>
        <v>232.4631622277262</v>
      </c>
      <c r="AB39" s="33">
        <f t="shared" si="35"/>
        <v>232.4631622277262</v>
      </c>
      <c r="AC39" s="33">
        <f t="shared" si="35"/>
        <v>232.4631622277262</v>
      </c>
      <c r="AD39" s="33">
        <f t="shared" si="35"/>
        <v>232.4631622277262</v>
      </c>
      <c r="AE39" s="33">
        <f t="shared" si="35"/>
        <v>232.4631622277262</v>
      </c>
      <c r="AF39" s="33">
        <f t="shared" si="35"/>
        <v>232.4631622277262</v>
      </c>
      <c r="AG39" s="33">
        <f t="shared" si="35"/>
        <v>232.4631622277262</v>
      </c>
      <c r="AH39" s="33">
        <f t="shared" si="35"/>
        <v>232.4631622277262</v>
      </c>
      <c r="AI39" s="33">
        <f t="shared" si="35"/>
        <v>0</v>
      </c>
      <c r="AJ39" s="33">
        <f t="shared" si="35"/>
        <v>0</v>
      </c>
      <c r="AK39" s="33">
        <f t="shared" si="35"/>
        <v>0</v>
      </c>
      <c r="AL39" s="33">
        <f t="shared" si="35"/>
        <v>0</v>
      </c>
      <c r="AM39" s="33">
        <f t="shared" si="35"/>
        <v>0</v>
      </c>
      <c r="AN39" s="33" t="e">
        <f>AN15*Painel!#REF!</f>
        <v>#REF!</v>
      </c>
      <c r="AO39" s="36"/>
    </row>
    <row r="40" spans="1:41" ht="12" customHeight="1">
      <c r="A40" s="100" t="s">
        <v>52</v>
      </c>
      <c r="B40" s="36"/>
      <c r="C40" s="301">
        <f t="shared" si="36"/>
        <v>3390.2271078530389</v>
      </c>
      <c r="D40" s="609">
        <f t="shared" si="34"/>
        <v>1.5537790789982535E-2</v>
      </c>
      <c r="E40" s="33">
        <f t="shared" si="37"/>
        <v>40.775927414040005</v>
      </c>
      <c r="F40" s="33">
        <f t="shared" si="35"/>
        <v>87.376987315799994</v>
      </c>
      <c r="G40" s="33">
        <f t="shared" si="35"/>
        <v>116.50264975440001</v>
      </c>
      <c r="H40" s="33">
        <f t="shared" si="35"/>
        <v>116.50264975440001</v>
      </c>
      <c r="I40" s="33">
        <f t="shared" si="35"/>
        <v>116.50264975440001</v>
      </c>
      <c r="J40" s="33">
        <f t="shared" si="35"/>
        <v>116.50264975440001</v>
      </c>
      <c r="K40" s="33">
        <f t="shared" si="35"/>
        <v>116.50264975440001</v>
      </c>
      <c r="L40" s="33">
        <f t="shared" si="35"/>
        <v>116.50264975440001</v>
      </c>
      <c r="M40" s="33">
        <f t="shared" si="35"/>
        <v>116.50264975440001</v>
      </c>
      <c r="N40" s="33">
        <f t="shared" si="35"/>
        <v>116.50264975440001</v>
      </c>
      <c r="O40" s="33">
        <f t="shared" si="35"/>
        <v>116.50264975440001</v>
      </c>
      <c r="P40" s="33">
        <f t="shared" si="35"/>
        <v>116.50264975440001</v>
      </c>
      <c r="Q40" s="33">
        <f t="shared" si="35"/>
        <v>116.50264975440001</v>
      </c>
      <c r="R40" s="33">
        <f t="shared" si="35"/>
        <v>116.50264975440001</v>
      </c>
      <c r="S40" s="33">
        <f t="shared" si="35"/>
        <v>116.50264975440001</v>
      </c>
      <c r="T40" s="33">
        <f t="shared" si="35"/>
        <v>116.50264975440001</v>
      </c>
      <c r="U40" s="33">
        <f t="shared" si="35"/>
        <v>116.50264975440001</v>
      </c>
      <c r="V40" s="33">
        <f t="shared" si="35"/>
        <v>116.50264975440001</v>
      </c>
      <c r="W40" s="33">
        <f t="shared" si="35"/>
        <v>116.50264975440001</v>
      </c>
      <c r="X40" s="33">
        <f t="shared" si="35"/>
        <v>116.50264975440001</v>
      </c>
      <c r="Y40" s="33">
        <f t="shared" si="35"/>
        <v>116.50264975440001</v>
      </c>
      <c r="Z40" s="33">
        <f t="shared" si="35"/>
        <v>116.50264975440001</v>
      </c>
      <c r="AA40" s="33">
        <f t="shared" si="35"/>
        <v>116.50264975440001</v>
      </c>
      <c r="AB40" s="33">
        <f t="shared" si="35"/>
        <v>116.50264975440001</v>
      </c>
      <c r="AC40" s="33">
        <f t="shared" si="35"/>
        <v>116.50264975440001</v>
      </c>
      <c r="AD40" s="33">
        <f t="shared" si="35"/>
        <v>116.50264975440001</v>
      </c>
      <c r="AE40" s="33">
        <f t="shared" si="35"/>
        <v>116.50264975440001</v>
      </c>
      <c r="AF40" s="33">
        <f t="shared" si="35"/>
        <v>116.50264975440001</v>
      </c>
      <c r="AG40" s="33">
        <f t="shared" si="35"/>
        <v>116.50264975440001</v>
      </c>
      <c r="AH40" s="33">
        <f t="shared" si="35"/>
        <v>116.50264975440001</v>
      </c>
      <c r="AI40" s="33">
        <f t="shared" si="35"/>
        <v>0</v>
      </c>
      <c r="AJ40" s="33">
        <f t="shared" si="35"/>
        <v>0</v>
      </c>
      <c r="AK40" s="33">
        <f t="shared" si="35"/>
        <v>0</v>
      </c>
      <c r="AL40" s="33">
        <f t="shared" ref="F40:AM48" si="38">AL16*1.2</f>
        <v>0</v>
      </c>
      <c r="AM40" s="33">
        <f t="shared" si="38"/>
        <v>0</v>
      </c>
      <c r="AN40" s="33" t="e">
        <f>AN16*Painel!#REF!</f>
        <v>#REF!</v>
      </c>
      <c r="AO40" s="36"/>
    </row>
    <row r="41" spans="1:41" ht="12" customHeight="1">
      <c r="A41" s="100" t="s">
        <v>56</v>
      </c>
      <c r="B41" s="36"/>
      <c r="C41" s="301">
        <f t="shared" si="36"/>
        <v>1498.3714656151428</v>
      </c>
      <c r="D41" s="609">
        <f t="shared" si="34"/>
        <v>6.867204354681483E-3</v>
      </c>
      <c r="E41" s="33">
        <f t="shared" si="37"/>
        <v>18.02164993007904</v>
      </c>
      <c r="F41" s="33">
        <f t="shared" si="38"/>
        <v>38.617821278740799</v>
      </c>
      <c r="G41" s="33">
        <f t="shared" si="38"/>
        <v>51.490428371654396</v>
      </c>
      <c r="H41" s="33">
        <f t="shared" si="38"/>
        <v>51.490428371654396</v>
      </c>
      <c r="I41" s="33">
        <f t="shared" si="38"/>
        <v>51.490428371654396</v>
      </c>
      <c r="J41" s="33">
        <f t="shared" si="38"/>
        <v>51.490428371654396</v>
      </c>
      <c r="K41" s="33">
        <f t="shared" si="38"/>
        <v>51.490428371654396</v>
      </c>
      <c r="L41" s="33">
        <f t="shared" si="38"/>
        <v>51.490428371654396</v>
      </c>
      <c r="M41" s="33">
        <f t="shared" si="38"/>
        <v>51.490428371654396</v>
      </c>
      <c r="N41" s="33">
        <f t="shared" si="38"/>
        <v>51.490428371654396</v>
      </c>
      <c r="O41" s="33">
        <f t="shared" si="38"/>
        <v>51.490428371654396</v>
      </c>
      <c r="P41" s="33">
        <f t="shared" si="38"/>
        <v>51.490428371654396</v>
      </c>
      <c r="Q41" s="33">
        <f t="shared" si="38"/>
        <v>51.490428371654396</v>
      </c>
      <c r="R41" s="33">
        <f t="shared" si="38"/>
        <v>51.490428371654396</v>
      </c>
      <c r="S41" s="33">
        <f t="shared" si="38"/>
        <v>51.490428371654396</v>
      </c>
      <c r="T41" s="33">
        <f t="shared" si="38"/>
        <v>51.490428371654396</v>
      </c>
      <c r="U41" s="33">
        <f t="shared" si="38"/>
        <v>51.490428371654396</v>
      </c>
      <c r="V41" s="33">
        <f t="shared" si="38"/>
        <v>51.490428371654396</v>
      </c>
      <c r="W41" s="33">
        <f t="shared" si="38"/>
        <v>51.490428371654396</v>
      </c>
      <c r="X41" s="33">
        <f t="shared" si="38"/>
        <v>51.490428371654396</v>
      </c>
      <c r="Y41" s="33">
        <f t="shared" si="38"/>
        <v>51.490428371654396</v>
      </c>
      <c r="Z41" s="33">
        <f t="shared" si="38"/>
        <v>51.490428371654396</v>
      </c>
      <c r="AA41" s="33">
        <f t="shared" si="38"/>
        <v>51.490428371654396</v>
      </c>
      <c r="AB41" s="33">
        <f t="shared" si="38"/>
        <v>51.490428371654396</v>
      </c>
      <c r="AC41" s="33">
        <f t="shared" si="38"/>
        <v>51.490428371654396</v>
      </c>
      <c r="AD41" s="33">
        <f t="shared" si="38"/>
        <v>51.490428371654396</v>
      </c>
      <c r="AE41" s="33">
        <f t="shared" si="38"/>
        <v>51.490428371654396</v>
      </c>
      <c r="AF41" s="33">
        <f t="shared" si="38"/>
        <v>51.490428371654396</v>
      </c>
      <c r="AG41" s="33">
        <f t="shared" si="38"/>
        <v>51.490428371654396</v>
      </c>
      <c r="AH41" s="33">
        <f t="shared" si="38"/>
        <v>51.490428371654396</v>
      </c>
      <c r="AI41" s="33">
        <f t="shared" si="38"/>
        <v>0</v>
      </c>
      <c r="AJ41" s="33">
        <f t="shared" si="38"/>
        <v>0</v>
      </c>
      <c r="AK41" s="33">
        <f t="shared" si="38"/>
        <v>0</v>
      </c>
      <c r="AL41" s="33">
        <f t="shared" si="38"/>
        <v>0</v>
      </c>
      <c r="AM41" s="33">
        <f t="shared" si="38"/>
        <v>0</v>
      </c>
      <c r="AN41" s="33" t="e">
        <f>AN17*Painel!#REF!</f>
        <v>#REF!</v>
      </c>
      <c r="AO41" s="36"/>
    </row>
    <row r="42" spans="1:41" ht="12" customHeight="1">
      <c r="A42" s="100" t="str">
        <f>A18</f>
        <v>Gestão de Resíduos</v>
      </c>
      <c r="B42" s="36"/>
      <c r="C42" s="607">
        <f t="shared" si="36"/>
        <v>2390.4791361099956</v>
      </c>
      <c r="D42" s="609">
        <f t="shared" si="34"/>
        <v>1.0955833790207951E-2</v>
      </c>
      <c r="E42" s="608">
        <f t="shared" si="37"/>
        <v>28.751467272800642</v>
      </c>
      <c r="F42" s="608">
        <f t="shared" si="38"/>
        <v>61.610287013144244</v>
      </c>
      <c r="G42" s="608">
        <f t="shared" si="38"/>
        <v>82.147049350858978</v>
      </c>
      <c r="H42" s="608">
        <f t="shared" si="38"/>
        <v>82.147049350858978</v>
      </c>
      <c r="I42" s="608">
        <f t="shared" si="38"/>
        <v>82.147049350858978</v>
      </c>
      <c r="J42" s="608">
        <f t="shared" si="38"/>
        <v>82.147049350858978</v>
      </c>
      <c r="K42" s="608">
        <f t="shared" si="38"/>
        <v>82.147049350858978</v>
      </c>
      <c r="L42" s="608">
        <f t="shared" si="38"/>
        <v>82.147049350858978</v>
      </c>
      <c r="M42" s="608">
        <f t="shared" si="38"/>
        <v>82.147049350858978</v>
      </c>
      <c r="N42" s="608">
        <f t="shared" si="38"/>
        <v>82.147049350858978</v>
      </c>
      <c r="O42" s="608">
        <f t="shared" si="38"/>
        <v>82.147049350858978</v>
      </c>
      <c r="P42" s="608">
        <f t="shared" si="38"/>
        <v>82.147049350858978</v>
      </c>
      <c r="Q42" s="608">
        <f t="shared" si="38"/>
        <v>82.147049350858978</v>
      </c>
      <c r="R42" s="608">
        <f t="shared" si="38"/>
        <v>82.147049350858978</v>
      </c>
      <c r="S42" s="608">
        <f t="shared" si="38"/>
        <v>82.147049350858978</v>
      </c>
      <c r="T42" s="608">
        <f t="shared" si="38"/>
        <v>82.147049350858978</v>
      </c>
      <c r="U42" s="608">
        <f t="shared" si="38"/>
        <v>82.147049350858978</v>
      </c>
      <c r="V42" s="608">
        <f t="shared" si="38"/>
        <v>82.147049350858978</v>
      </c>
      <c r="W42" s="608">
        <f t="shared" si="38"/>
        <v>82.147049350858978</v>
      </c>
      <c r="X42" s="608">
        <f t="shared" si="38"/>
        <v>82.147049350858978</v>
      </c>
      <c r="Y42" s="608">
        <f t="shared" si="38"/>
        <v>82.147049350858978</v>
      </c>
      <c r="Z42" s="608">
        <f t="shared" si="38"/>
        <v>82.147049350858978</v>
      </c>
      <c r="AA42" s="608">
        <f t="shared" si="38"/>
        <v>82.147049350858978</v>
      </c>
      <c r="AB42" s="608">
        <f t="shared" si="38"/>
        <v>82.147049350858978</v>
      </c>
      <c r="AC42" s="608">
        <f t="shared" si="38"/>
        <v>82.147049350858978</v>
      </c>
      <c r="AD42" s="608">
        <f t="shared" si="38"/>
        <v>82.147049350858978</v>
      </c>
      <c r="AE42" s="608">
        <f t="shared" si="38"/>
        <v>82.147049350858978</v>
      </c>
      <c r="AF42" s="608">
        <f t="shared" si="38"/>
        <v>82.147049350858978</v>
      </c>
      <c r="AG42" s="608">
        <f t="shared" si="38"/>
        <v>82.147049350858978</v>
      </c>
      <c r="AH42" s="608">
        <f t="shared" si="38"/>
        <v>82.147049350858978</v>
      </c>
      <c r="AI42" s="608">
        <f t="shared" si="38"/>
        <v>0</v>
      </c>
      <c r="AJ42" s="608">
        <f t="shared" si="38"/>
        <v>0</v>
      </c>
      <c r="AK42" s="608">
        <f t="shared" si="38"/>
        <v>0</v>
      </c>
      <c r="AL42" s="608">
        <f t="shared" si="38"/>
        <v>0</v>
      </c>
      <c r="AM42" s="608">
        <f t="shared" si="38"/>
        <v>0</v>
      </c>
      <c r="AN42" s="608" t="e">
        <f>AN18*Painel!#REF!</f>
        <v>#REF!</v>
      </c>
      <c r="AO42" s="36"/>
    </row>
    <row r="43" spans="1:41" ht="12" customHeight="1">
      <c r="A43" s="100" t="s">
        <v>61</v>
      </c>
      <c r="B43" s="36"/>
      <c r="C43" s="301">
        <f t="shared" si="36"/>
        <v>5661.6827582032856</v>
      </c>
      <c r="D43" s="609">
        <f t="shared" si="34"/>
        <v>2.5948126605572316E-2</v>
      </c>
      <c r="E43" s="33">
        <f t="shared" si="37"/>
        <v>68.095840734403779</v>
      </c>
      <c r="F43" s="33">
        <f t="shared" si="38"/>
        <v>145.91965871657953</v>
      </c>
      <c r="G43" s="33">
        <f t="shared" si="38"/>
        <v>194.55954495543935</v>
      </c>
      <c r="H43" s="33">
        <f t="shared" si="38"/>
        <v>194.55954495543935</v>
      </c>
      <c r="I43" s="33">
        <f t="shared" si="38"/>
        <v>194.55954495543935</v>
      </c>
      <c r="J43" s="33">
        <f t="shared" si="38"/>
        <v>194.55954495543935</v>
      </c>
      <c r="K43" s="33">
        <f t="shared" si="38"/>
        <v>194.55954495543935</v>
      </c>
      <c r="L43" s="33">
        <f t="shared" si="38"/>
        <v>194.55954495543935</v>
      </c>
      <c r="M43" s="33">
        <f t="shared" si="38"/>
        <v>194.55954495543935</v>
      </c>
      <c r="N43" s="33">
        <f t="shared" si="38"/>
        <v>194.55954495543935</v>
      </c>
      <c r="O43" s="33">
        <f t="shared" si="38"/>
        <v>194.55954495543935</v>
      </c>
      <c r="P43" s="33">
        <f t="shared" si="38"/>
        <v>194.55954495543935</v>
      </c>
      <c r="Q43" s="33">
        <f t="shared" si="38"/>
        <v>194.55954495543935</v>
      </c>
      <c r="R43" s="33">
        <f t="shared" si="38"/>
        <v>194.55954495543935</v>
      </c>
      <c r="S43" s="33">
        <f t="shared" si="38"/>
        <v>194.55954495543935</v>
      </c>
      <c r="T43" s="33">
        <f t="shared" si="38"/>
        <v>194.55954495543935</v>
      </c>
      <c r="U43" s="33">
        <f t="shared" si="38"/>
        <v>194.55954495543935</v>
      </c>
      <c r="V43" s="33">
        <f t="shared" si="38"/>
        <v>194.55954495543935</v>
      </c>
      <c r="W43" s="33">
        <f t="shared" si="38"/>
        <v>194.55954495543935</v>
      </c>
      <c r="X43" s="33">
        <f t="shared" si="38"/>
        <v>194.55954495543935</v>
      </c>
      <c r="Y43" s="33">
        <f t="shared" si="38"/>
        <v>194.55954495543935</v>
      </c>
      <c r="Z43" s="33">
        <f t="shared" si="38"/>
        <v>194.55954495543935</v>
      </c>
      <c r="AA43" s="33">
        <f t="shared" si="38"/>
        <v>194.55954495543935</v>
      </c>
      <c r="AB43" s="33">
        <f t="shared" si="38"/>
        <v>194.55954495543935</v>
      </c>
      <c r="AC43" s="33">
        <f t="shared" si="38"/>
        <v>194.55954495543935</v>
      </c>
      <c r="AD43" s="33">
        <f t="shared" si="38"/>
        <v>194.55954495543935</v>
      </c>
      <c r="AE43" s="33">
        <f t="shared" si="38"/>
        <v>194.55954495543935</v>
      </c>
      <c r="AF43" s="33">
        <f t="shared" si="38"/>
        <v>194.55954495543935</v>
      </c>
      <c r="AG43" s="33">
        <f t="shared" si="38"/>
        <v>194.55954495543935</v>
      </c>
      <c r="AH43" s="33">
        <f t="shared" si="38"/>
        <v>194.55954495543935</v>
      </c>
      <c r="AI43" s="33">
        <f t="shared" si="38"/>
        <v>0</v>
      </c>
      <c r="AJ43" s="33">
        <f t="shared" si="38"/>
        <v>0</v>
      </c>
      <c r="AK43" s="33">
        <f t="shared" si="38"/>
        <v>0</v>
      </c>
      <c r="AL43" s="33">
        <f t="shared" si="38"/>
        <v>0</v>
      </c>
      <c r="AM43" s="33">
        <f t="shared" si="38"/>
        <v>0</v>
      </c>
      <c r="AN43" s="33" t="e">
        <f>AN19*Painel!#REF!</f>
        <v>#REF!</v>
      </c>
      <c r="AO43" s="36"/>
    </row>
    <row r="44" spans="1:41" ht="12" customHeight="1">
      <c r="A44" s="100" t="s">
        <v>63</v>
      </c>
      <c r="B44" s="36"/>
      <c r="C44" s="301">
        <f t="shared" si="36"/>
        <v>53339.36493301711</v>
      </c>
      <c r="D44" s="609">
        <f t="shared" si="34"/>
        <v>0.24446028741850201</v>
      </c>
      <c r="E44" s="33">
        <f t="shared" si="37"/>
        <v>641.53875348989641</v>
      </c>
      <c r="F44" s="33">
        <f t="shared" si="38"/>
        <v>1374.7259003354923</v>
      </c>
      <c r="G44" s="33">
        <f t="shared" si="38"/>
        <v>1832.9678671139898</v>
      </c>
      <c r="H44" s="33">
        <f t="shared" si="38"/>
        <v>1832.9678671139898</v>
      </c>
      <c r="I44" s="33">
        <f t="shared" si="38"/>
        <v>1832.9678671139898</v>
      </c>
      <c r="J44" s="33">
        <f t="shared" si="38"/>
        <v>1832.9678671139898</v>
      </c>
      <c r="K44" s="33">
        <f t="shared" si="38"/>
        <v>1832.9678671139898</v>
      </c>
      <c r="L44" s="33">
        <f t="shared" si="38"/>
        <v>1832.9678671139898</v>
      </c>
      <c r="M44" s="33">
        <f t="shared" si="38"/>
        <v>1832.9678671139898</v>
      </c>
      <c r="N44" s="33">
        <f t="shared" si="38"/>
        <v>1832.9678671139898</v>
      </c>
      <c r="O44" s="33">
        <f t="shared" si="38"/>
        <v>1832.9678671139898</v>
      </c>
      <c r="P44" s="33">
        <f t="shared" si="38"/>
        <v>1832.9678671139898</v>
      </c>
      <c r="Q44" s="33">
        <f t="shared" si="38"/>
        <v>1832.9678671139898</v>
      </c>
      <c r="R44" s="33">
        <f t="shared" si="38"/>
        <v>1832.9678671139898</v>
      </c>
      <c r="S44" s="33">
        <f t="shared" si="38"/>
        <v>1832.9678671139898</v>
      </c>
      <c r="T44" s="33">
        <f t="shared" si="38"/>
        <v>1832.9678671139898</v>
      </c>
      <c r="U44" s="33">
        <f t="shared" si="38"/>
        <v>1832.9678671139898</v>
      </c>
      <c r="V44" s="33">
        <f t="shared" si="38"/>
        <v>1832.9678671139898</v>
      </c>
      <c r="W44" s="33">
        <f t="shared" si="38"/>
        <v>1832.9678671139898</v>
      </c>
      <c r="X44" s="33">
        <f t="shared" si="38"/>
        <v>1832.9678671139898</v>
      </c>
      <c r="Y44" s="33">
        <f t="shared" si="38"/>
        <v>1832.9678671139898</v>
      </c>
      <c r="Z44" s="33">
        <f t="shared" si="38"/>
        <v>1832.9678671139898</v>
      </c>
      <c r="AA44" s="33">
        <f t="shared" si="38"/>
        <v>1832.9678671139898</v>
      </c>
      <c r="AB44" s="33">
        <f t="shared" si="38"/>
        <v>1832.9678671139898</v>
      </c>
      <c r="AC44" s="33">
        <f t="shared" si="38"/>
        <v>1832.9678671139898</v>
      </c>
      <c r="AD44" s="33">
        <f t="shared" si="38"/>
        <v>1832.9678671139898</v>
      </c>
      <c r="AE44" s="33">
        <f t="shared" si="38"/>
        <v>1832.9678671139898</v>
      </c>
      <c r="AF44" s="33">
        <f t="shared" si="38"/>
        <v>1832.9678671139898</v>
      </c>
      <c r="AG44" s="33">
        <f t="shared" si="38"/>
        <v>1832.9678671139898</v>
      </c>
      <c r="AH44" s="33">
        <f t="shared" si="38"/>
        <v>1832.9678671139898</v>
      </c>
      <c r="AI44" s="33">
        <f t="shared" si="38"/>
        <v>0</v>
      </c>
      <c r="AJ44" s="33">
        <f t="shared" si="38"/>
        <v>0</v>
      </c>
      <c r="AK44" s="33">
        <f t="shared" si="38"/>
        <v>0</v>
      </c>
      <c r="AL44" s="33">
        <f t="shared" si="38"/>
        <v>0</v>
      </c>
      <c r="AM44" s="33">
        <f t="shared" si="38"/>
        <v>0</v>
      </c>
      <c r="AN44" s="33" t="e">
        <f>AN20*Painel!#REF!</f>
        <v>#REF!</v>
      </c>
      <c r="AO44" s="36"/>
    </row>
    <row r="45" spans="1:41" ht="12" customHeight="1">
      <c r="A45" s="100" t="s">
        <v>65</v>
      </c>
      <c r="B45" s="36"/>
      <c r="C45" s="301">
        <f t="shared" si="36"/>
        <v>3001.1190840000013</v>
      </c>
      <c r="D45" s="609">
        <f t="shared" si="34"/>
        <v>1.3754465107957426E-2</v>
      </c>
      <c r="E45" s="33">
        <f t="shared" si="37"/>
        <v>36.095934</v>
      </c>
      <c r="F45" s="33">
        <f t="shared" si="38"/>
        <v>77.348429999999993</v>
      </c>
      <c r="G45" s="33">
        <f t="shared" si="38"/>
        <v>103.13124000000001</v>
      </c>
      <c r="H45" s="33">
        <f t="shared" si="38"/>
        <v>103.13124000000001</v>
      </c>
      <c r="I45" s="33">
        <f t="shared" si="38"/>
        <v>103.13124000000001</v>
      </c>
      <c r="J45" s="33">
        <f t="shared" si="38"/>
        <v>103.13124000000001</v>
      </c>
      <c r="K45" s="33">
        <f t="shared" si="38"/>
        <v>103.13124000000001</v>
      </c>
      <c r="L45" s="33">
        <f t="shared" si="38"/>
        <v>103.13124000000001</v>
      </c>
      <c r="M45" s="33">
        <f t="shared" si="38"/>
        <v>103.13124000000001</v>
      </c>
      <c r="N45" s="33">
        <f t="shared" si="38"/>
        <v>103.13124000000001</v>
      </c>
      <c r="O45" s="33">
        <f t="shared" si="38"/>
        <v>103.13124000000001</v>
      </c>
      <c r="P45" s="33">
        <f t="shared" si="38"/>
        <v>103.13124000000001</v>
      </c>
      <c r="Q45" s="33">
        <f t="shared" si="38"/>
        <v>103.13124000000001</v>
      </c>
      <c r="R45" s="33">
        <f t="shared" si="38"/>
        <v>103.13124000000001</v>
      </c>
      <c r="S45" s="33">
        <f t="shared" si="38"/>
        <v>103.13124000000001</v>
      </c>
      <c r="T45" s="33">
        <f t="shared" si="38"/>
        <v>103.13124000000001</v>
      </c>
      <c r="U45" s="33">
        <f t="shared" si="38"/>
        <v>103.13124000000001</v>
      </c>
      <c r="V45" s="33">
        <f t="shared" si="38"/>
        <v>103.13124000000001</v>
      </c>
      <c r="W45" s="33">
        <f t="shared" si="38"/>
        <v>103.13124000000001</v>
      </c>
      <c r="X45" s="33">
        <f t="shared" si="38"/>
        <v>103.13124000000001</v>
      </c>
      <c r="Y45" s="33">
        <f t="shared" si="38"/>
        <v>103.13124000000001</v>
      </c>
      <c r="Z45" s="33">
        <f t="shared" si="38"/>
        <v>103.13124000000001</v>
      </c>
      <c r="AA45" s="33">
        <f t="shared" si="38"/>
        <v>103.13124000000001</v>
      </c>
      <c r="AB45" s="33">
        <f t="shared" si="38"/>
        <v>103.13124000000001</v>
      </c>
      <c r="AC45" s="33">
        <f t="shared" si="38"/>
        <v>103.13124000000001</v>
      </c>
      <c r="AD45" s="33">
        <f t="shared" si="38"/>
        <v>103.13124000000001</v>
      </c>
      <c r="AE45" s="33">
        <f t="shared" si="38"/>
        <v>103.13124000000001</v>
      </c>
      <c r="AF45" s="33">
        <f t="shared" si="38"/>
        <v>103.13124000000001</v>
      </c>
      <c r="AG45" s="33">
        <f t="shared" si="38"/>
        <v>103.13124000000001</v>
      </c>
      <c r="AH45" s="33">
        <f t="shared" si="38"/>
        <v>103.13124000000001</v>
      </c>
      <c r="AI45" s="33">
        <f t="shared" si="38"/>
        <v>0</v>
      </c>
      <c r="AJ45" s="33">
        <f t="shared" si="38"/>
        <v>0</v>
      </c>
      <c r="AK45" s="33">
        <f t="shared" si="38"/>
        <v>0</v>
      </c>
      <c r="AL45" s="33">
        <f t="shared" si="38"/>
        <v>0</v>
      </c>
      <c r="AM45" s="33">
        <f t="shared" si="38"/>
        <v>0</v>
      </c>
      <c r="AN45" s="33" t="e">
        <f>AN21*Painel!#REF!</f>
        <v>#REF!</v>
      </c>
      <c r="AO45" s="36"/>
    </row>
    <row r="46" spans="1:41" ht="12" customHeight="1">
      <c r="A46" s="100" t="s">
        <v>69</v>
      </c>
      <c r="B46" s="36"/>
      <c r="C46" s="301">
        <f t="shared" si="36"/>
        <v>35136.627710101602</v>
      </c>
      <c r="D46" s="609">
        <f t="shared" si="34"/>
        <v>0.16103510268101123</v>
      </c>
      <c r="E46" s="33">
        <f t="shared" si="37"/>
        <v>422.60548792218407</v>
      </c>
      <c r="F46" s="33">
        <f t="shared" si="38"/>
        <v>905.5831884046803</v>
      </c>
      <c r="G46" s="33">
        <f t="shared" si="38"/>
        <v>1207.4442512062403</v>
      </c>
      <c r="H46" s="33">
        <f t="shared" si="38"/>
        <v>1207.4442512062403</v>
      </c>
      <c r="I46" s="33">
        <f t="shared" si="38"/>
        <v>1207.4442512062403</v>
      </c>
      <c r="J46" s="33">
        <f t="shared" si="38"/>
        <v>1207.4442512062403</v>
      </c>
      <c r="K46" s="33">
        <f t="shared" si="38"/>
        <v>1207.4442512062403</v>
      </c>
      <c r="L46" s="33">
        <f t="shared" si="38"/>
        <v>1207.4442512062403</v>
      </c>
      <c r="M46" s="33">
        <f t="shared" si="38"/>
        <v>1207.4442512062403</v>
      </c>
      <c r="N46" s="33">
        <f t="shared" si="38"/>
        <v>1207.4442512062403</v>
      </c>
      <c r="O46" s="33">
        <f t="shared" si="38"/>
        <v>1207.4442512062403</v>
      </c>
      <c r="P46" s="33">
        <f t="shared" si="38"/>
        <v>1207.4442512062403</v>
      </c>
      <c r="Q46" s="33">
        <f t="shared" si="38"/>
        <v>1207.4442512062403</v>
      </c>
      <c r="R46" s="33">
        <f t="shared" si="38"/>
        <v>1207.4442512062403</v>
      </c>
      <c r="S46" s="33">
        <f t="shared" si="38"/>
        <v>1207.4442512062403</v>
      </c>
      <c r="T46" s="33">
        <f t="shared" si="38"/>
        <v>1207.4442512062403</v>
      </c>
      <c r="U46" s="33">
        <f t="shared" si="38"/>
        <v>1207.4442512062403</v>
      </c>
      <c r="V46" s="33">
        <f t="shared" si="38"/>
        <v>1207.4442512062403</v>
      </c>
      <c r="W46" s="33">
        <f t="shared" si="38"/>
        <v>1207.4442512062403</v>
      </c>
      <c r="X46" s="33">
        <f t="shared" si="38"/>
        <v>1207.4442512062403</v>
      </c>
      <c r="Y46" s="33">
        <f t="shared" si="38"/>
        <v>1207.4442512062403</v>
      </c>
      <c r="Z46" s="33">
        <f t="shared" si="38"/>
        <v>1207.4442512062403</v>
      </c>
      <c r="AA46" s="33">
        <f t="shared" si="38"/>
        <v>1207.4442512062403</v>
      </c>
      <c r="AB46" s="33">
        <f t="shared" si="38"/>
        <v>1207.4442512062403</v>
      </c>
      <c r="AC46" s="33">
        <f t="shared" si="38"/>
        <v>1207.4442512062403</v>
      </c>
      <c r="AD46" s="33">
        <f t="shared" si="38"/>
        <v>1207.4442512062403</v>
      </c>
      <c r="AE46" s="33">
        <f t="shared" si="38"/>
        <v>1207.4442512062403</v>
      </c>
      <c r="AF46" s="33">
        <f t="shared" si="38"/>
        <v>1207.4442512062403</v>
      </c>
      <c r="AG46" s="33">
        <f t="shared" si="38"/>
        <v>1207.4442512062403</v>
      </c>
      <c r="AH46" s="33">
        <f t="shared" si="38"/>
        <v>1207.4442512062403</v>
      </c>
      <c r="AI46" s="33">
        <f t="shared" si="38"/>
        <v>0</v>
      </c>
      <c r="AJ46" s="33">
        <f t="shared" si="38"/>
        <v>0</v>
      </c>
      <c r="AK46" s="33">
        <f t="shared" si="38"/>
        <v>0</v>
      </c>
      <c r="AL46" s="33">
        <f t="shared" si="38"/>
        <v>0</v>
      </c>
      <c r="AM46" s="33">
        <f t="shared" si="38"/>
        <v>0</v>
      </c>
      <c r="AN46" s="33" t="e">
        <f>AN22*Painel!#REF!</f>
        <v>#REF!</v>
      </c>
      <c r="AO46" s="36"/>
    </row>
    <row r="47" spans="1:41" ht="12" customHeight="1">
      <c r="A47" s="100" t="s">
        <v>73</v>
      </c>
      <c r="B47" s="36"/>
      <c r="C47" s="301">
        <f t="shared" si="36"/>
        <v>16548.421818144965</v>
      </c>
      <c r="D47" s="609">
        <f t="shared" si="34"/>
        <v>7.5843271832473622E-2</v>
      </c>
      <c r="E47" s="33">
        <f t="shared" si="37"/>
        <v>199.0360012491663</v>
      </c>
      <c r="F47" s="33">
        <f t="shared" si="38"/>
        <v>426.50571696249921</v>
      </c>
      <c r="G47" s="33">
        <f t="shared" si="38"/>
        <v>568.67428928333231</v>
      </c>
      <c r="H47" s="33">
        <f t="shared" si="38"/>
        <v>568.67428928333231</v>
      </c>
      <c r="I47" s="33">
        <f t="shared" si="38"/>
        <v>568.67428928333231</v>
      </c>
      <c r="J47" s="33">
        <f t="shared" si="38"/>
        <v>568.67428928333231</v>
      </c>
      <c r="K47" s="33">
        <f t="shared" si="38"/>
        <v>568.67428928333231</v>
      </c>
      <c r="L47" s="33">
        <f t="shared" si="38"/>
        <v>568.67428928333231</v>
      </c>
      <c r="M47" s="33">
        <f t="shared" si="38"/>
        <v>568.67428928333231</v>
      </c>
      <c r="N47" s="33">
        <f t="shared" si="38"/>
        <v>568.67428928333231</v>
      </c>
      <c r="O47" s="33">
        <f t="shared" si="38"/>
        <v>568.67428928333231</v>
      </c>
      <c r="P47" s="33">
        <f t="shared" si="38"/>
        <v>568.67428928333231</v>
      </c>
      <c r="Q47" s="33">
        <f t="shared" si="38"/>
        <v>568.67428928333231</v>
      </c>
      <c r="R47" s="33">
        <f t="shared" si="38"/>
        <v>568.67428928333231</v>
      </c>
      <c r="S47" s="33">
        <f t="shared" si="38"/>
        <v>568.67428928333231</v>
      </c>
      <c r="T47" s="33">
        <f t="shared" si="38"/>
        <v>568.67428928333231</v>
      </c>
      <c r="U47" s="33">
        <f t="shared" si="38"/>
        <v>568.67428928333231</v>
      </c>
      <c r="V47" s="33">
        <f t="shared" si="38"/>
        <v>568.67428928333231</v>
      </c>
      <c r="W47" s="33">
        <f t="shared" si="38"/>
        <v>568.67428928333231</v>
      </c>
      <c r="X47" s="33">
        <f t="shared" si="38"/>
        <v>568.67428928333231</v>
      </c>
      <c r="Y47" s="33">
        <f t="shared" si="38"/>
        <v>568.67428928333231</v>
      </c>
      <c r="Z47" s="33">
        <f t="shared" si="38"/>
        <v>568.67428928333231</v>
      </c>
      <c r="AA47" s="33">
        <f t="shared" si="38"/>
        <v>568.67428928333231</v>
      </c>
      <c r="AB47" s="33">
        <f t="shared" si="38"/>
        <v>568.67428928333231</v>
      </c>
      <c r="AC47" s="33">
        <f t="shared" si="38"/>
        <v>568.67428928333231</v>
      </c>
      <c r="AD47" s="33">
        <f t="shared" si="38"/>
        <v>568.67428928333231</v>
      </c>
      <c r="AE47" s="33">
        <f t="shared" si="38"/>
        <v>568.67428928333231</v>
      </c>
      <c r="AF47" s="33">
        <f t="shared" si="38"/>
        <v>568.67428928333231</v>
      </c>
      <c r="AG47" s="33">
        <f t="shared" si="38"/>
        <v>568.67428928333231</v>
      </c>
      <c r="AH47" s="33">
        <f t="shared" si="38"/>
        <v>568.67428928333231</v>
      </c>
      <c r="AI47" s="33">
        <f t="shared" si="38"/>
        <v>0</v>
      </c>
      <c r="AJ47" s="33">
        <f t="shared" si="38"/>
        <v>0</v>
      </c>
      <c r="AK47" s="33">
        <f t="shared" si="38"/>
        <v>0</v>
      </c>
      <c r="AL47" s="33">
        <f t="shared" si="38"/>
        <v>0</v>
      </c>
      <c r="AM47" s="33">
        <f t="shared" si="38"/>
        <v>0</v>
      </c>
      <c r="AN47" s="33" t="e">
        <f>AN23*Painel!#REF!</f>
        <v>#REF!</v>
      </c>
      <c r="AO47" s="36"/>
    </row>
    <row r="48" spans="1:41" ht="12" customHeight="1">
      <c r="A48" s="100" t="s">
        <v>77</v>
      </c>
      <c r="B48" s="36"/>
      <c r="C48" s="301">
        <f t="shared" si="36"/>
        <v>11181.580991079207</v>
      </c>
      <c r="D48" s="609">
        <f t="shared" si="34"/>
        <v>5.1246438841278219E-2</v>
      </c>
      <c r="E48" s="33">
        <f t="shared" si="37"/>
        <v>134.48636930851282</v>
      </c>
      <c r="F48" s="33">
        <f t="shared" si="38"/>
        <v>288.18507708967036</v>
      </c>
      <c r="G48" s="33">
        <f t="shared" si="38"/>
        <v>384.24676945289377</v>
      </c>
      <c r="H48" s="33">
        <f t="shared" si="38"/>
        <v>384.24676945289377</v>
      </c>
      <c r="I48" s="33">
        <f t="shared" si="38"/>
        <v>384.24676945289377</v>
      </c>
      <c r="J48" s="33">
        <f t="shared" si="38"/>
        <v>384.24676945289377</v>
      </c>
      <c r="K48" s="33">
        <f t="shared" si="38"/>
        <v>384.24676945289377</v>
      </c>
      <c r="L48" s="33">
        <f t="shared" si="38"/>
        <v>384.24676945289377</v>
      </c>
      <c r="M48" s="33">
        <f t="shared" si="38"/>
        <v>384.24676945289377</v>
      </c>
      <c r="N48" s="33">
        <f t="shared" si="38"/>
        <v>384.24676945289377</v>
      </c>
      <c r="O48" s="33">
        <f t="shared" si="38"/>
        <v>384.24676945289377</v>
      </c>
      <c r="P48" s="33">
        <f t="shared" si="38"/>
        <v>384.24676945289377</v>
      </c>
      <c r="Q48" s="33">
        <f t="shared" si="38"/>
        <v>384.24676945289377</v>
      </c>
      <c r="R48" s="33">
        <f t="shared" si="38"/>
        <v>384.24676945289377</v>
      </c>
      <c r="S48" s="33">
        <f t="shared" si="38"/>
        <v>384.24676945289377</v>
      </c>
      <c r="T48" s="33">
        <f t="shared" si="38"/>
        <v>384.24676945289377</v>
      </c>
      <c r="U48" s="33">
        <f t="shared" ref="F48:AM51" si="39">U24*1.2</f>
        <v>384.24676945289377</v>
      </c>
      <c r="V48" s="33">
        <f t="shared" si="39"/>
        <v>384.24676945289377</v>
      </c>
      <c r="W48" s="33">
        <f t="shared" si="39"/>
        <v>384.24676945289377</v>
      </c>
      <c r="X48" s="33">
        <f t="shared" si="39"/>
        <v>384.24676945289377</v>
      </c>
      <c r="Y48" s="33">
        <f t="shared" si="39"/>
        <v>384.24676945289377</v>
      </c>
      <c r="Z48" s="33">
        <f t="shared" si="39"/>
        <v>384.24676945289377</v>
      </c>
      <c r="AA48" s="33">
        <f t="shared" si="39"/>
        <v>384.24676945289377</v>
      </c>
      <c r="AB48" s="33">
        <f t="shared" si="39"/>
        <v>384.24676945289377</v>
      </c>
      <c r="AC48" s="33">
        <f t="shared" si="39"/>
        <v>384.24676945289377</v>
      </c>
      <c r="AD48" s="33">
        <f t="shared" si="39"/>
        <v>384.24676945289377</v>
      </c>
      <c r="AE48" s="33">
        <f t="shared" si="39"/>
        <v>384.24676945289377</v>
      </c>
      <c r="AF48" s="33">
        <f t="shared" si="39"/>
        <v>384.24676945289377</v>
      </c>
      <c r="AG48" s="33">
        <f t="shared" si="39"/>
        <v>384.24676945289377</v>
      </c>
      <c r="AH48" s="33">
        <f t="shared" si="39"/>
        <v>384.24676945289377</v>
      </c>
      <c r="AI48" s="33">
        <f t="shared" si="39"/>
        <v>0</v>
      </c>
      <c r="AJ48" s="33">
        <f t="shared" si="39"/>
        <v>0</v>
      </c>
      <c r="AK48" s="33">
        <f t="shared" si="39"/>
        <v>0</v>
      </c>
      <c r="AL48" s="33">
        <f t="shared" si="39"/>
        <v>0</v>
      </c>
      <c r="AM48" s="33">
        <f t="shared" si="39"/>
        <v>0</v>
      </c>
      <c r="AN48" s="33" t="e">
        <f>AN24*Painel!#REF!</f>
        <v>#REF!</v>
      </c>
      <c r="AO48" s="36"/>
    </row>
    <row r="49" spans="1:41" ht="12" customHeight="1">
      <c r="A49" s="100" t="s">
        <v>81</v>
      </c>
      <c r="B49" s="36"/>
      <c r="C49" s="301">
        <f t="shared" si="36"/>
        <v>9189.9194345672913</v>
      </c>
      <c r="D49" s="609">
        <f t="shared" si="34"/>
        <v>4.2118430715259017E-2</v>
      </c>
      <c r="E49" s="33">
        <f t="shared" si="37"/>
        <v>110.53167704806023</v>
      </c>
      <c r="F49" s="33">
        <f t="shared" si="39"/>
        <v>236.85359367441475</v>
      </c>
      <c r="G49" s="33">
        <f t="shared" si="39"/>
        <v>315.80479156588638</v>
      </c>
      <c r="H49" s="33">
        <f t="shared" si="39"/>
        <v>315.80479156588638</v>
      </c>
      <c r="I49" s="33">
        <f t="shared" si="39"/>
        <v>315.80479156588638</v>
      </c>
      <c r="J49" s="33">
        <f t="shared" si="39"/>
        <v>315.80479156588638</v>
      </c>
      <c r="K49" s="33">
        <f t="shared" si="39"/>
        <v>315.80479156588638</v>
      </c>
      <c r="L49" s="33">
        <f t="shared" si="39"/>
        <v>315.80479156588638</v>
      </c>
      <c r="M49" s="33">
        <f t="shared" si="39"/>
        <v>315.80479156588638</v>
      </c>
      <c r="N49" s="33">
        <f t="shared" si="39"/>
        <v>315.80479156588638</v>
      </c>
      <c r="O49" s="33">
        <f t="shared" si="39"/>
        <v>315.80479156588638</v>
      </c>
      <c r="P49" s="33">
        <f t="shared" si="39"/>
        <v>315.80479156588638</v>
      </c>
      <c r="Q49" s="33">
        <f t="shared" si="39"/>
        <v>315.80479156588638</v>
      </c>
      <c r="R49" s="33">
        <f t="shared" si="39"/>
        <v>315.80479156588638</v>
      </c>
      <c r="S49" s="33">
        <f t="shared" si="39"/>
        <v>315.80479156588638</v>
      </c>
      <c r="T49" s="33">
        <f t="shared" si="39"/>
        <v>315.80479156588638</v>
      </c>
      <c r="U49" s="33">
        <f t="shared" si="39"/>
        <v>315.80479156588638</v>
      </c>
      <c r="V49" s="33">
        <f t="shared" si="39"/>
        <v>315.80479156588638</v>
      </c>
      <c r="W49" s="33">
        <f t="shared" si="39"/>
        <v>315.80479156588638</v>
      </c>
      <c r="X49" s="33">
        <f t="shared" si="39"/>
        <v>315.80479156588638</v>
      </c>
      <c r="Y49" s="33">
        <f t="shared" si="39"/>
        <v>315.80479156588638</v>
      </c>
      <c r="Z49" s="33">
        <f t="shared" si="39"/>
        <v>315.80479156588638</v>
      </c>
      <c r="AA49" s="33">
        <f t="shared" si="39"/>
        <v>315.80479156588638</v>
      </c>
      <c r="AB49" s="33">
        <f t="shared" si="39"/>
        <v>315.80479156588638</v>
      </c>
      <c r="AC49" s="33">
        <f t="shared" si="39"/>
        <v>315.80479156588638</v>
      </c>
      <c r="AD49" s="33">
        <f t="shared" si="39"/>
        <v>315.80479156588638</v>
      </c>
      <c r="AE49" s="33">
        <f t="shared" si="39"/>
        <v>315.80479156588638</v>
      </c>
      <c r="AF49" s="33">
        <f t="shared" si="39"/>
        <v>315.80479156588638</v>
      </c>
      <c r="AG49" s="33">
        <f t="shared" si="39"/>
        <v>315.80479156588638</v>
      </c>
      <c r="AH49" s="33">
        <f t="shared" si="39"/>
        <v>315.80479156588638</v>
      </c>
      <c r="AI49" s="33">
        <f t="shared" si="39"/>
        <v>0</v>
      </c>
      <c r="AJ49" s="33">
        <f t="shared" si="39"/>
        <v>0</v>
      </c>
      <c r="AK49" s="33">
        <f t="shared" si="39"/>
        <v>0</v>
      </c>
      <c r="AL49" s="33">
        <f t="shared" si="39"/>
        <v>0</v>
      </c>
      <c r="AM49" s="33">
        <f t="shared" si="39"/>
        <v>0</v>
      </c>
      <c r="AN49" s="33" t="e">
        <f>AN25*Painel!#REF!</f>
        <v>#REF!</v>
      </c>
      <c r="AO49" s="36"/>
    </row>
    <row r="50" spans="1:41" ht="12" customHeight="1">
      <c r="A50" s="100" t="s">
        <v>84</v>
      </c>
      <c r="B50" s="36"/>
      <c r="C50" s="301">
        <f t="shared" si="36"/>
        <v>35848.478402288012</v>
      </c>
      <c r="D50" s="609">
        <f t="shared" si="34"/>
        <v>0.16429759418291567</v>
      </c>
      <c r="E50" s="33">
        <f t="shared" si="37"/>
        <v>431.16726600690043</v>
      </c>
      <c r="F50" s="33">
        <f t="shared" si="39"/>
        <v>923.92985572907241</v>
      </c>
      <c r="G50" s="33">
        <f t="shared" si="39"/>
        <v>1231.9064743054298</v>
      </c>
      <c r="H50" s="33">
        <f t="shared" si="39"/>
        <v>1231.9064743054298</v>
      </c>
      <c r="I50" s="33">
        <f t="shared" si="39"/>
        <v>1231.9064743054298</v>
      </c>
      <c r="J50" s="33">
        <f t="shared" si="39"/>
        <v>1231.9064743054298</v>
      </c>
      <c r="K50" s="33">
        <f t="shared" si="39"/>
        <v>1231.9064743054298</v>
      </c>
      <c r="L50" s="33">
        <f t="shared" si="39"/>
        <v>1231.9064743054298</v>
      </c>
      <c r="M50" s="33">
        <f t="shared" si="39"/>
        <v>1231.9064743054298</v>
      </c>
      <c r="N50" s="33">
        <f t="shared" si="39"/>
        <v>1231.9064743054298</v>
      </c>
      <c r="O50" s="33">
        <f t="shared" si="39"/>
        <v>1231.9064743054298</v>
      </c>
      <c r="P50" s="33">
        <f t="shared" si="39"/>
        <v>1231.9064743054298</v>
      </c>
      <c r="Q50" s="33">
        <f t="shared" si="39"/>
        <v>1231.9064743054298</v>
      </c>
      <c r="R50" s="33">
        <f t="shared" si="39"/>
        <v>1231.9064743054298</v>
      </c>
      <c r="S50" s="33">
        <f t="shared" si="39"/>
        <v>1231.9064743054298</v>
      </c>
      <c r="T50" s="33">
        <f t="shared" si="39"/>
        <v>1231.9064743054298</v>
      </c>
      <c r="U50" s="33">
        <f t="shared" si="39"/>
        <v>1231.9064743054298</v>
      </c>
      <c r="V50" s="33">
        <f t="shared" si="39"/>
        <v>1231.9064743054298</v>
      </c>
      <c r="W50" s="33">
        <f t="shared" si="39"/>
        <v>1231.9064743054298</v>
      </c>
      <c r="X50" s="33">
        <f t="shared" si="39"/>
        <v>1231.9064743054298</v>
      </c>
      <c r="Y50" s="33">
        <f t="shared" si="39"/>
        <v>1231.9064743054298</v>
      </c>
      <c r="Z50" s="33">
        <f t="shared" si="39"/>
        <v>1231.9064743054298</v>
      </c>
      <c r="AA50" s="33">
        <f t="shared" si="39"/>
        <v>1231.9064743054298</v>
      </c>
      <c r="AB50" s="33">
        <f t="shared" si="39"/>
        <v>1231.9064743054298</v>
      </c>
      <c r="AC50" s="33">
        <f t="shared" si="39"/>
        <v>1231.9064743054298</v>
      </c>
      <c r="AD50" s="33">
        <f t="shared" si="39"/>
        <v>1231.9064743054298</v>
      </c>
      <c r="AE50" s="33">
        <f t="shared" si="39"/>
        <v>1231.9064743054298</v>
      </c>
      <c r="AF50" s="33">
        <f t="shared" si="39"/>
        <v>1231.9064743054298</v>
      </c>
      <c r="AG50" s="33">
        <f t="shared" si="39"/>
        <v>1231.9064743054298</v>
      </c>
      <c r="AH50" s="33">
        <f t="shared" si="39"/>
        <v>1231.9064743054298</v>
      </c>
      <c r="AI50" s="33">
        <f t="shared" si="39"/>
        <v>0</v>
      </c>
      <c r="AJ50" s="33">
        <f t="shared" si="39"/>
        <v>0</v>
      </c>
      <c r="AK50" s="33">
        <f t="shared" si="39"/>
        <v>0</v>
      </c>
      <c r="AL50" s="33">
        <f t="shared" si="39"/>
        <v>0</v>
      </c>
      <c r="AM50" s="33">
        <f t="shared" si="39"/>
        <v>0</v>
      </c>
      <c r="AN50" s="33" t="e">
        <f>AN26*Painel!#REF!</f>
        <v>#REF!</v>
      </c>
      <c r="AO50" s="36"/>
    </row>
    <row r="51" spans="1:41" ht="12" customHeight="1">
      <c r="A51" s="36"/>
      <c r="B51" s="36"/>
      <c r="C51" s="36"/>
      <c r="D51" s="609"/>
      <c r="E51" s="33">
        <f t="shared" si="37"/>
        <v>0</v>
      </c>
      <c r="F51" s="33">
        <f t="shared" si="39"/>
        <v>0</v>
      </c>
      <c r="G51" s="33">
        <f t="shared" si="39"/>
        <v>0</v>
      </c>
      <c r="H51" s="33">
        <f t="shared" si="39"/>
        <v>0</v>
      </c>
      <c r="I51" s="33">
        <f t="shared" si="39"/>
        <v>0</v>
      </c>
      <c r="J51" s="33">
        <f t="shared" si="39"/>
        <v>0</v>
      </c>
      <c r="K51" s="33">
        <f t="shared" si="39"/>
        <v>0</v>
      </c>
      <c r="L51" s="33">
        <f t="shared" si="39"/>
        <v>0</v>
      </c>
      <c r="M51" s="33">
        <f t="shared" si="39"/>
        <v>0</v>
      </c>
      <c r="N51" s="33">
        <f t="shared" si="39"/>
        <v>0</v>
      </c>
      <c r="O51" s="33">
        <f t="shared" si="39"/>
        <v>0</v>
      </c>
      <c r="P51" s="33">
        <f t="shared" si="39"/>
        <v>0</v>
      </c>
      <c r="Q51" s="33">
        <f t="shared" si="39"/>
        <v>0</v>
      </c>
      <c r="R51" s="33">
        <f t="shared" si="39"/>
        <v>0</v>
      </c>
      <c r="S51" s="33">
        <f t="shared" si="39"/>
        <v>0</v>
      </c>
      <c r="T51" s="33">
        <f t="shared" si="39"/>
        <v>0</v>
      </c>
      <c r="U51" s="33">
        <f t="shared" si="39"/>
        <v>0</v>
      </c>
      <c r="V51" s="33">
        <f t="shared" si="39"/>
        <v>0</v>
      </c>
      <c r="W51" s="33">
        <f t="shared" si="39"/>
        <v>0</v>
      </c>
      <c r="X51" s="33">
        <f t="shared" si="39"/>
        <v>0</v>
      </c>
      <c r="Y51" s="33">
        <f t="shared" si="39"/>
        <v>0</v>
      </c>
      <c r="Z51" s="33">
        <f t="shared" si="39"/>
        <v>0</v>
      </c>
      <c r="AA51" s="33">
        <f t="shared" si="39"/>
        <v>0</v>
      </c>
      <c r="AB51" s="33">
        <f t="shared" si="39"/>
        <v>0</v>
      </c>
      <c r="AC51" s="33">
        <f t="shared" si="39"/>
        <v>0</v>
      </c>
      <c r="AD51" s="33">
        <f t="shared" si="39"/>
        <v>0</v>
      </c>
      <c r="AE51" s="33">
        <f t="shared" si="39"/>
        <v>0</v>
      </c>
      <c r="AF51" s="33">
        <f t="shared" si="39"/>
        <v>0</v>
      </c>
      <c r="AG51" s="33">
        <f t="shared" si="39"/>
        <v>0</v>
      </c>
      <c r="AH51" s="33">
        <f t="shared" si="39"/>
        <v>0</v>
      </c>
      <c r="AI51" s="33">
        <f t="shared" si="39"/>
        <v>0</v>
      </c>
      <c r="AJ51" s="33">
        <f t="shared" si="39"/>
        <v>0</v>
      </c>
      <c r="AK51" s="33">
        <f t="shared" si="39"/>
        <v>0</v>
      </c>
      <c r="AL51" s="33">
        <f t="shared" si="39"/>
        <v>0</v>
      </c>
      <c r="AM51" s="33">
        <f t="shared" si="39"/>
        <v>0</v>
      </c>
      <c r="AN51" s="34"/>
      <c r="AO51" s="36"/>
    </row>
    <row r="52" spans="1:41" ht="12" customHeight="1">
      <c r="A52" s="617" t="s">
        <v>349</v>
      </c>
      <c r="B52" s="624"/>
      <c r="C52" s="625">
        <f>SUM(E52:AH52)</f>
        <v>218192.35138876841</v>
      </c>
      <c r="D52" s="611">
        <f t="shared" si="34"/>
        <v>1</v>
      </c>
      <c r="E52" s="66">
        <f>SUM(E33:E50)</f>
        <v>2579.1859402295995</v>
      </c>
      <c r="F52" s="66">
        <f t="shared" ref="F52:AN52" si="40">SUM(F33:F50)</f>
        <v>5624.691272570577</v>
      </c>
      <c r="G52" s="66">
        <f t="shared" si="40"/>
        <v>7499.5883634274378</v>
      </c>
      <c r="H52" s="66">
        <f t="shared" si="40"/>
        <v>7499.5883634274378</v>
      </c>
      <c r="I52" s="66">
        <f t="shared" si="40"/>
        <v>7499.5883634274378</v>
      </c>
      <c r="J52" s="66">
        <f t="shared" si="40"/>
        <v>7499.5883634274378</v>
      </c>
      <c r="K52" s="66">
        <f t="shared" si="40"/>
        <v>7499.5883634274378</v>
      </c>
      <c r="L52" s="66">
        <f t="shared" si="40"/>
        <v>7499.5883634274378</v>
      </c>
      <c r="M52" s="66">
        <f t="shared" si="40"/>
        <v>7499.5883634274378</v>
      </c>
      <c r="N52" s="66">
        <f t="shared" si="40"/>
        <v>7499.5883634274378</v>
      </c>
      <c r="O52" s="66">
        <f t="shared" si="40"/>
        <v>7499.5883634274378</v>
      </c>
      <c r="P52" s="66">
        <f t="shared" si="40"/>
        <v>7499.5883634274378</v>
      </c>
      <c r="Q52" s="66">
        <f t="shared" si="40"/>
        <v>7499.5883634274378</v>
      </c>
      <c r="R52" s="66">
        <f t="shared" si="40"/>
        <v>7499.5883634274378</v>
      </c>
      <c r="S52" s="66">
        <f t="shared" si="40"/>
        <v>7499.5883634274378</v>
      </c>
      <c r="T52" s="66">
        <f t="shared" si="40"/>
        <v>7499.5883634274378</v>
      </c>
      <c r="U52" s="66">
        <f t="shared" si="40"/>
        <v>7499.5883634274378</v>
      </c>
      <c r="V52" s="66">
        <f t="shared" si="40"/>
        <v>7499.5883634274378</v>
      </c>
      <c r="W52" s="66">
        <f t="shared" si="40"/>
        <v>7499.5883634274378</v>
      </c>
      <c r="X52" s="66">
        <f t="shared" si="40"/>
        <v>7499.5883634274378</v>
      </c>
      <c r="Y52" s="66">
        <f t="shared" si="40"/>
        <v>7499.5883634274378</v>
      </c>
      <c r="Z52" s="66">
        <f t="shared" si="40"/>
        <v>7499.5883634274378</v>
      </c>
      <c r="AA52" s="66">
        <f t="shared" si="40"/>
        <v>7499.5883634274378</v>
      </c>
      <c r="AB52" s="66">
        <f t="shared" si="40"/>
        <v>7499.5883634274378</v>
      </c>
      <c r="AC52" s="66">
        <f t="shared" si="40"/>
        <v>7499.5883634274378</v>
      </c>
      <c r="AD52" s="66">
        <f t="shared" si="40"/>
        <v>7499.5883634274378</v>
      </c>
      <c r="AE52" s="66">
        <f t="shared" si="40"/>
        <v>7499.5883634274378</v>
      </c>
      <c r="AF52" s="66">
        <f t="shared" si="40"/>
        <v>7499.5883634274378</v>
      </c>
      <c r="AG52" s="66">
        <f t="shared" si="40"/>
        <v>7499.5883634274378</v>
      </c>
      <c r="AH52" s="66">
        <f t="shared" si="40"/>
        <v>7499.5883634274378</v>
      </c>
      <c r="AI52" s="66">
        <f t="shared" si="40"/>
        <v>0</v>
      </c>
      <c r="AJ52" s="66">
        <f t="shared" si="40"/>
        <v>0</v>
      </c>
      <c r="AK52" s="66">
        <f t="shared" si="40"/>
        <v>0</v>
      </c>
      <c r="AL52" s="66">
        <f t="shared" si="40"/>
        <v>0</v>
      </c>
      <c r="AM52" s="66">
        <f t="shared" si="40"/>
        <v>0</v>
      </c>
      <c r="AN52" s="66" t="e">
        <f t="shared" si="40"/>
        <v>#REF!</v>
      </c>
      <c r="AO52" s="36"/>
    </row>
    <row r="53" spans="1:41" ht="12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215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</row>
    <row r="54" spans="1:41" ht="12" customHeight="1">
      <c r="A54" s="74" t="s">
        <v>351</v>
      </c>
      <c r="B54" s="60"/>
      <c r="C54" s="60"/>
      <c r="D54" s="73"/>
      <c r="E54" s="98"/>
      <c r="F54" s="98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</row>
    <row r="55" spans="1:41" ht="12" customHeight="1">
      <c r="A55" s="75"/>
      <c r="B55" s="100" t="s">
        <v>346</v>
      </c>
      <c r="C55" s="612" t="s">
        <v>347</v>
      </c>
      <c r="D55" s="73"/>
      <c r="E55" s="73"/>
      <c r="F55" s="73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99"/>
    </row>
    <row r="56" spans="1:41" ht="12" customHeight="1">
      <c r="A56" s="100" t="s">
        <v>18</v>
      </c>
      <c r="C56" s="301">
        <f>SUM(E56:AH56)</f>
        <v>0</v>
      </c>
      <c r="D56" s="609">
        <f>C56/$C$76</f>
        <v>0</v>
      </c>
      <c r="E56" s="73"/>
      <c r="F56" s="33">
        <f>E56*1.025</f>
        <v>0</v>
      </c>
      <c r="G56" s="33">
        <f t="shared" ref="G56" si="41">F56*1.025</f>
        <v>0</v>
      </c>
      <c r="H56" s="33">
        <f t="shared" ref="H56" si="42">G56*1.025</f>
        <v>0</v>
      </c>
      <c r="I56" s="33">
        <f t="shared" ref="I56" si="43">H56*1.025</f>
        <v>0</v>
      </c>
      <c r="J56" s="33">
        <f t="shared" ref="J56" si="44">I56*1.025</f>
        <v>0</v>
      </c>
      <c r="K56" s="33">
        <f t="shared" ref="K56" si="45">J56*1.025</f>
        <v>0</v>
      </c>
      <c r="L56" s="33">
        <f t="shared" ref="L56" si="46">K56*1.025</f>
        <v>0</v>
      </c>
      <c r="M56" s="33">
        <f t="shared" ref="M56" si="47">L56*1.025</f>
        <v>0</v>
      </c>
      <c r="N56" s="33">
        <f t="shared" ref="N56" si="48">M56*1.025</f>
        <v>0</v>
      </c>
      <c r="O56" s="33">
        <f t="shared" ref="O56" si="49">N56*1.025</f>
        <v>0</v>
      </c>
      <c r="P56" s="33">
        <f t="shared" ref="P56" si="50">O56*1.025</f>
        <v>0</v>
      </c>
      <c r="Q56" s="33">
        <f t="shared" ref="Q56" si="51">P56*1.025</f>
        <v>0</v>
      </c>
      <c r="R56" s="33">
        <f t="shared" ref="R56" si="52">Q56*1.025</f>
        <v>0</v>
      </c>
      <c r="S56" s="33">
        <f t="shared" ref="S56" si="53">R56*1.025</f>
        <v>0</v>
      </c>
      <c r="T56" s="33">
        <f t="shared" ref="T56" si="54">S56*1.025</f>
        <v>0</v>
      </c>
      <c r="U56" s="33">
        <f t="shared" ref="U56" si="55">T56*1.025</f>
        <v>0</v>
      </c>
      <c r="V56" s="33">
        <f t="shared" ref="V56" si="56">U56*1.025</f>
        <v>0</v>
      </c>
      <c r="W56" s="33">
        <f t="shared" ref="W56" si="57">V56*1.025</f>
        <v>0</v>
      </c>
      <c r="X56" s="33">
        <f t="shared" ref="X56" si="58">W56*1.025</f>
        <v>0</v>
      </c>
      <c r="Y56" s="33">
        <f t="shared" ref="Y56" si="59">X56*1.025</f>
        <v>0</v>
      </c>
      <c r="Z56" s="33">
        <f t="shared" ref="Z56" si="60">Y56*1.025</f>
        <v>0</v>
      </c>
      <c r="AA56" s="33">
        <f t="shared" ref="AA56" si="61">Z56*1.025</f>
        <v>0</v>
      </c>
      <c r="AB56" s="33">
        <f t="shared" ref="AB56" si="62">AA56*1.025</f>
        <v>0</v>
      </c>
      <c r="AC56" s="33">
        <f t="shared" ref="AC56" si="63">AB56*1.025</f>
        <v>0</v>
      </c>
      <c r="AD56" s="33">
        <f t="shared" ref="AD56" si="64">AC56*1.025</f>
        <v>0</v>
      </c>
      <c r="AE56" s="33">
        <f t="shared" ref="AE56" si="65">AD56*1.025</f>
        <v>0</v>
      </c>
      <c r="AF56" s="33">
        <f t="shared" ref="AF56" si="66">AE56*1.025</f>
        <v>0</v>
      </c>
      <c r="AG56" s="33">
        <f t="shared" ref="AG56" si="67">AF56*1.025</f>
        <v>0</v>
      </c>
      <c r="AH56" s="33">
        <f t="shared" ref="AH56" si="68">AG56*1.025</f>
        <v>0</v>
      </c>
      <c r="AI56" s="33">
        <f t="shared" ref="AI56" si="69">AH56*1.025</f>
        <v>0</v>
      </c>
      <c r="AJ56" s="33">
        <f t="shared" ref="AJ56" si="70">AI56*1.025</f>
        <v>0</v>
      </c>
      <c r="AK56" s="33">
        <f t="shared" ref="AK56" si="71">AJ56*1.025</f>
        <v>0</v>
      </c>
      <c r="AL56" s="33">
        <f t="shared" ref="AL56" si="72">AK56*1.025</f>
        <v>0</v>
      </c>
      <c r="AM56" s="33">
        <f t="shared" ref="AM56" si="73">AL56*1.025</f>
        <v>0</v>
      </c>
      <c r="AN56" s="33">
        <f t="shared" ref="AN56" si="74">AM56*1.025</f>
        <v>0</v>
      </c>
      <c r="AO56" s="36"/>
    </row>
    <row r="57" spans="1:41" ht="12" customHeight="1">
      <c r="A57" s="100" t="s">
        <v>22</v>
      </c>
      <c r="B57" s="36"/>
      <c r="C57" s="301">
        <f>SUM(E57:AH57)</f>
        <v>7594.2664047262315</v>
      </c>
      <c r="D57" s="609">
        <f t="shared" ref="D57:D74" si="75">C57/$C$76</f>
        <v>5.2197135656196596E-2</v>
      </c>
      <c r="E57" s="33">
        <f>E9*0.8</f>
        <v>91.339973940006175</v>
      </c>
      <c r="F57" s="33">
        <f t="shared" ref="F57:AN64" si="76">F9*0.8</f>
        <v>195.72851558572754</v>
      </c>
      <c r="G57" s="33">
        <f t="shared" si="76"/>
        <v>260.97135411430338</v>
      </c>
      <c r="H57" s="33">
        <f t="shared" si="76"/>
        <v>260.97135411430338</v>
      </c>
      <c r="I57" s="33">
        <f t="shared" si="76"/>
        <v>260.97135411430338</v>
      </c>
      <c r="J57" s="33">
        <f t="shared" si="76"/>
        <v>260.97135411430338</v>
      </c>
      <c r="K57" s="33">
        <f t="shared" si="76"/>
        <v>260.97135411430338</v>
      </c>
      <c r="L57" s="33">
        <f t="shared" si="76"/>
        <v>260.97135411430338</v>
      </c>
      <c r="M57" s="33">
        <f t="shared" si="76"/>
        <v>260.97135411430338</v>
      </c>
      <c r="N57" s="33">
        <f t="shared" si="76"/>
        <v>260.97135411430338</v>
      </c>
      <c r="O57" s="33">
        <f t="shared" si="76"/>
        <v>260.97135411430338</v>
      </c>
      <c r="P57" s="33">
        <f t="shared" si="76"/>
        <v>260.97135411430338</v>
      </c>
      <c r="Q57" s="33">
        <f t="shared" si="76"/>
        <v>260.97135411430338</v>
      </c>
      <c r="R57" s="33">
        <f t="shared" si="76"/>
        <v>260.97135411430338</v>
      </c>
      <c r="S57" s="33">
        <f t="shared" si="76"/>
        <v>260.97135411430338</v>
      </c>
      <c r="T57" s="33">
        <f t="shared" si="76"/>
        <v>260.97135411430338</v>
      </c>
      <c r="U57" s="33">
        <f t="shared" si="76"/>
        <v>260.97135411430338</v>
      </c>
      <c r="V57" s="33">
        <f t="shared" si="76"/>
        <v>260.97135411430338</v>
      </c>
      <c r="W57" s="33">
        <f t="shared" si="76"/>
        <v>260.97135411430338</v>
      </c>
      <c r="X57" s="33">
        <f t="shared" si="76"/>
        <v>260.97135411430338</v>
      </c>
      <c r="Y57" s="33">
        <f t="shared" si="76"/>
        <v>260.97135411430338</v>
      </c>
      <c r="Z57" s="33">
        <f t="shared" si="76"/>
        <v>260.97135411430338</v>
      </c>
      <c r="AA57" s="33">
        <f t="shared" si="76"/>
        <v>260.97135411430338</v>
      </c>
      <c r="AB57" s="33">
        <f t="shared" si="76"/>
        <v>260.97135411430338</v>
      </c>
      <c r="AC57" s="33">
        <f t="shared" si="76"/>
        <v>260.97135411430338</v>
      </c>
      <c r="AD57" s="33">
        <f t="shared" si="76"/>
        <v>260.97135411430338</v>
      </c>
      <c r="AE57" s="33">
        <f t="shared" si="76"/>
        <v>260.97135411430338</v>
      </c>
      <c r="AF57" s="33">
        <f t="shared" si="76"/>
        <v>260.97135411430338</v>
      </c>
      <c r="AG57" s="33">
        <f t="shared" si="76"/>
        <v>260.97135411430338</v>
      </c>
      <c r="AH57" s="33">
        <f t="shared" si="76"/>
        <v>260.97135411430338</v>
      </c>
      <c r="AI57" s="33">
        <f t="shared" si="76"/>
        <v>0</v>
      </c>
      <c r="AJ57" s="33">
        <f t="shared" si="76"/>
        <v>0</v>
      </c>
      <c r="AK57" s="33">
        <f t="shared" si="76"/>
        <v>0</v>
      </c>
      <c r="AL57" s="33">
        <f t="shared" si="76"/>
        <v>0</v>
      </c>
      <c r="AM57" s="33">
        <f t="shared" si="76"/>
        <v>0</v>
      </c>
      <c r="AN57" s="33">
        <f t="shared" si="76"/>
        <v>0</v>
      </c>
      <c r="AO57" s="33">
        <f>AN131</f>
        <v>0</v>
      </c>
    </row>
    <row r="58" spans="1:41" ht="12" customHeight="1">
      <c r="A58" s="100" t="s">
        <v>26</v>
      </c>
      <c r="B58" s="36"/>
      <c r="C58" s="301">
        <f t="shared" ref="C58:C74" si="77">SUM(E58:AH58)</f>
        <v>3255.1237460481439</v>
      </c>
      <c r="D58" s="609">
        <f t="shared" si="75"/>
        <v>2.2373212459921188E-2</v>
      </c>
      <c r="E58" s="33">
        <f t="shared" ref="E58:T74" si="78">E10*0.8</f>
        <v>39.150972890613417</v>
      </c>
      <c r="F58" s="33">
        <f t="shared" si="78"/>
        <v>83.894941908457326</v>
      </c>
      <c r="G58" s="33">
        <f t="shared" si="78"/>
        <v>111.85992254460979</v>
      </c>
      <c r="H58" s="33">
        <f t="shared" si="78"/>
        <v>111.85992254460979</v>
      </c>
      <c r="I58" s="33">
        <f t="shared" si="78"/>
        <v>111.85992254460979</v>
      </c>
      <c r="J58" s="33">
        <f t="shared" si="78"/>
        <v>111.85992254460979</v>
      </c>
      <c r="K58" s="33">
        <f t="shared" si="78"/>
        <v>111.85992254460979</v>
      </c>
      <c r="L58" s="33">
        <f t="shared" si="78"/>
        <v>111.85992254460979</v>
      </c>
      <c r="M58" s="33">
        <f t="shared" si="78"/>
        <v>111.85992254460979</v>
      </c>
      <c r="N58" s="33">
        <f t="shared" si="78"/>
        <v>111.85992254460979</v>
      </c>
      <c r="O58" s="33">
        <f t="shared" si="78"/>
        <v>111.85992254460979</v>
      </c>
      <c r="P58" s="33">
        <f t="shared" si="78"/>
        <v>111.85992254460979</v>
      </c>
      <c r="Q58" s="33">
        <f t="shared" si="78"/>
        <v>111.85992254460979</v>
      </c>
      <c r="R58" s="33">
        <f t="shared" si="78"/>
        <v>111.85992254460979</v>
      </c>
      <c r="S58" s="33">
        <f t="shared" si="78"/>
        <v>111.85992254460979</v>
      </c>
      <c r="T58" s="33">
        <f t="shared" si="78"/>
        <v>111.85992254460979</v>
      </c>
      <c r="U58" s="33">
        <f t="shared" si="76"/>
        <v>111.85992254460979</v>
      </c>
      <c r="V58" s="33">
        <f t="shared" si="76"/>
        <v>111.85992254460979</v>
      </c>
      <c r="W58" s="33">
        <f t="shared" si="76"/>
        <v>111.85992254460979</v>
      </c>
      <c r="X58" s="33">
        <f t="shared" si="76"/>
        <v>111.85992254460979</v>
      </c>
      <c r="Y58" s="33">
        <f t="shared" si="76"/>
        <v>111.85992254460979</v>
      </c>
      <c r="Z58" s="33">
        <f t="shared" si="76"/>
        <v>111.85992254460979</v>
      </c>
      <c r="AA58" s="33">
        <f t="shared" si="76"/>
        <v>111.85992254460979</v>
      </c>
      <c r="AB58" s="33">
        <f t="shared" si="76"/>
        <v>111.85992254460979</v>
      </c>
      <c r="AC58" s="33">
        <f t="shared" si="76"/>
        <v>111.85992254460979</v>
      </c>
      <c r="AD58" s="33">
        <f t="shared" si="76"/>
        <v>111.85992254460979</v>
      </c>
      <c r="AE58" s="33">
        <f t="shared" si="76"/>
        <v>111.85992254460979</v>
      </c>
      <c r="AF58" s="33">
        <f t="shared" si="76"/>
        <v>111.85992254460979</v>
      </c>
      <c r="AG58" s="33">
        <f t="shared" si="76"/>
        <v>111.85992254460979</v>
      </c>
      <c r="AH58" s="33">
        <f t="shared" si="76"/>
        <v>111.85992254460979</v>
      </c>
      <c r="AI58" s="33">
        <f t="shared" si="76"/>
        <v>0</v>
      </c>
      <c r="AJ58" s="33">
        <f t="shared" si="76"/>
        <v>0</v>
      </c>
      <c r="AK58" s="33">
        <f t="shared" si="76"/>
        <v>0</v>
      </c>
      <c r="AL58" s="33">
        <f t="shared" si="76"/>
        <v>0</v>
      </c>
      <c r="AM58" s="33">
        <f t="shared" si="76"/>
        <v>0</v>
      </c>
      <c r="AN58" s="33">
        <f t="shared" si="76"/>
        <v>0</v>
      </c>
      <c r="AO58" s="36"/>
    </row>
    <row r="59" spans="1:41" ht="12" customHeight="1">
      <c r="A59" s="100" t="s">
        <v>30</v>
      </c>
      <c r="B59" s="36"/>
      <c r="C59" s="301">
        <f t="shared" si="77"/>
        <v>1593.3837240451753</v>
      </c>
      <c r="D59" s="609">
        <f t="shared" si="75"/>
        <v>1.0951691969167884E-2</v>
      </c>
      <c r="E59" s="33">
        <f t="shared" si="78"/>
        <v>19.164409052089727</v>
      </c>
      <c r="F59" s="33">
        <f t="shared" si="76"/>
        <v>41.066590825906566</v>
      </c>
      <c r="G59" s="33">
        <f t="shared" si="76"/>
        <v>54.755454434542088</v>
      </c>
      <c r="H59" s="33">
        <f t="shared" si="76"/>
        <v>54.755454434542088</v>
      </c>
      <c r="I59" s="33">
        <f t="shared" si="76"/>
        <v>54.755454434542088</v>
      </c>
      <c r="J59" s="33">
        <f t="shared" si="76"/>
        <v>54.755454434542088</v>
      </c>
      <c r="K59" s="33">
        <f t="shared" si="76"/>
        <v>54.755454434542088</v>
      </c>
      <c r="L59" s="33">
        <f t="shared" si="76"/>
        <v>54.755454434542088</v>
      </c>
      <c r="M59" s="33">
        <f t="shared" si="76"/>
        <v>54.755454434542088</v>
      </c>
      <c r="N59" s="33">
        <f t="shared" si="76"/>
        <v>54.755454434542088</v>
      </c>
      <c r="O59" s="33">
        <f t="shared" si="76"/>
        <v>54.755454434542088</v>
      </c>
      <c r="P59" s="33">
        <f t="shared" si="76"/>
        <v>54.755454434542088</v>
      </c>
      <c r="Q59" s="33">
        <f t="shared" si="76"/>
        <v>54.755454434542088</v>
      </c>
      <c r="R59" s="33">
        <f t="shared" si="76"/>
        <v>54.755454434542088</v>
      </c>
      <c r="S59" s="33">
        <f t="shared" si="76"/>
        <v>54.755454434542088</v>
      </c>
      <c r="T59" s="33">
        <f t="shared" si="76"/>
        <v>54.755454434542088</v>
      </c>
      <c r="U59" s="33">
        <f t="shared" si="76"/>
        <v>54.755454434542088</v>
      </c>
      <c r="V59" s="33">
        <f t="shared" si="76"/>
        <v>54.755454434542088</v>
      </c>
      <c r="W59" s="33">
        <f t="shared" si="76"/>
        <v>54.755454434542088</v>
      </c>
      <c r="X59" s="33">
        <f t="shared" si="76"/>
        <v>54.755454434542088</v>
      </c>
      <c r="Y59" s="33">
        <f t="shared" si="76"/>
        <v>54.755454434542088</v>
      </c>
      <c r="Z59" s="33">
        <f t="shared" si="76"/>
        <v>54.755454434542088</v>
      </c>
      <c r="AA59" s="33">
        <f t="shared" si="76"/>
        <v>54.755454434542088</v>
      </c>
      <c r="AB59" s="33">
        <f t="shared" si="76"/>
        <v>54.755454434542088</v>
      </c>
      <c r="AC59" s="33">
        <f t="shared" si="76"/>
        <v>54.755454434542088</v>
      </c>
      <c r="AD59" s="33">
        <f t="shared" si="76"/>
        <v>54.755454434542088</v>
      </c>
      <c r="AE59" s="33">
        <f t="shared" si="76"/>
        <v>54.755454434542088</v>
      </c>
      <c r="AF59" s="33">
        <f t="shared" si="76"/>
        <v>54.755454434542088</v>
      </c>
      <c r="AG59" s="33">
        <f t="shared" si="76"/>
        <v>54.755454434542088</v>
      </c>
      <c r="AH59" s="33">
        <f t="shared" si="76"/>
        <v>54.755454434542088</v>
      </c>
      <c r="AI59" s="33">
        <f t="shared" si="76"/>
        <v>0</v>
      </c>
      <c r="AJ59" s="33">
        <f t="shared" si="76"/>
        <v>0</v>
      </c>
      <c r="AK59" s="33">
        <f t="shared" si="76"/>
        <v>0</v>
      </c>
      <c r="AL59" s="33">
        <f t="shared" si="76"/>
        <v>0</v>
      </c>
      <c r="AM59" s="33">
        <f t="shared" si="76"/>
        <v>0</v>
      </c>
      <c r="AN59" s="33">
        <f t="shared" si="76"/>
        <v>0</v>
      </c>
      <c r="AO59" s="36"/>
    </row>
    <row r="60" spans="1:41" ht="12" customHeight="1">
      <c r="A60" s="100" t="s">
        <v>35</v>
      </c>
      <c r="B60" s="36"/>
      <c r="C60" s="301">
        <f t="shared" si="77"/>
        <v>6498.492680681049</v>
      </c>
      <c r="D60" s="609">
        <f t="shared" si="75"/>
        <v>4.4665631403608554E-2</v>
      </c>
      <c r="E60" s="33">
        <f t="shared" si="78"/>
        <v>78.160564887916451</v>
      </c>
      <c r="F60" s="33">
        <f t="shared" si="76"/>
        <v>167.48692475982099</v>
      </c>
      <c r="G60" s="33">
        <f t="shared" si="76"/>
        <v>223.31589967976129</v>
      </c>
      <c r="H60" s="33">
        <f t="shared" si="76"/>
        <v>223.31589967976129</v>
      </c>
      <c r="I60" s="33">
        <f t="shared" si="76"/>
        <v>223.31589967976129</v>
      </c>
      <c r="J60" s="33">
        <f t="shared" si="76"/>
        <v>223.31589967976129</v>
      </c>
      <c r="K60" s="33">
        <f t="shared" si="76"/>
        <v>223.31589967976129</v>
      </c>
      <c r="L60" s="33">
        <f t="shared" si="76"/>
        <v>223.31589967976129</v>
      </c>
      <c r="M60" s="33">
        <f t="shared" si="76"/>
        <v>223.31589967976129</v>
      </c>
      <c r="N60" s="33">
        <f t="shared" si="76"/>
        <v>223.31589967976129</v>
      </c>
      <c r="O60" s="33">
        <f t="shared" si="76"/>
        <v>223.31589967976129</v>
      </c>
      <c r="P60" s="33">
        <f t="shared" si="76"/>
        <v>223.31589967976129</v>
      </c>
      <c r="Q60" s="33">
        <f t="shared" si="76"/>
        <v>223.31589967976129</v>
      </c>
      <c r="R60" s="33">
        <f t="shared" si="76"/>
        <v>223.31589967976129</v>
      </c>
      <c r="S60" s="33">
        <f t="shared" si="76"/>
        <v>223.31589967976129</v>
      </c>
      <c r="T60" s="33">
        <f t="shared" si="76"/>
        <v>223.31589967976129</v>
      </c>
      <c r="U60" s="33">
        <f t="shared" si="76"/>
        <v>223.31589967976129</v>
      </c>
      <c r="V60" s="33">
        <f t="shared" si="76"/>
        <v>223.31589967976129</v>
      </c>
      <c r="W60" s="33">
        <f t="shared" si="76"/>
        <v>223.31589967976129</v>
      </c>
      <c r="X60" s="33">
        <f t="shared" si="76"/>
        <v>223.31589967976129</v>
      </c>
      <c r="Y60" s="33">
        <f t="shared" si="76"/>
        <v>223.31589967976129</v>
      </c>
      <c r="Z60" s="33">
        <f t="shared" si="76"/>
        <v>223.31589967976129</v>
      </c>
      <c r="AA60" s="33">
        <f t="shared" si="76"/>
        <v>223.31589967976129</v>
      </c>
      <c r="AB60" s="33">
        <f t="shared" si="76"/>
        <v>223.31589967976129</v>
      </c>
      <c r="AC60" s="33">
        <f t="shared" si="76"/>
        <v>223.31589967976129</v>
      </c>
      <c r="AD60" s="33">
        <f t="shared" si="76"/>
        <v>223.31589967976129</v>
      </c>
      <c r="AE60" s="33">
        <f t="shared" si="76"/>
        <v>223.31589967976129</v>
      </c>
      <c r="AF60" s="33">
        <f t="shared" si="76"/>
        <v>223.31589967976129</v>
      </c>
      <c r="AG60" s="33">
        <f t="shared" si="76"/>
        <v>223.31589967976129</v>
      </c>
      <c r="AH60" s="33">
        <f t="shared" si="76"/>
        <v>223.31589967976129</v>
      </c>
      <c r="AI60" s="33">
        <f t="shared" si="76"/>
        <v>0</v>
      </c>
      <c r="AJ60" s="33">
        <f t="shared" si="76"/>
        <v>0</v>
      </c>
      <c r="AK60" s="33">
        <f t="shared" si="76"/>
        <v>0</v>
      </c>
      <c r="AL60" s="33">
        <f t="shared" si="76"/>
        <v>0</v>
      </c>
      <c r="AM60" s="33">
        <f t="shared" si="76"/>
        <v>0</v>
      </c>
      <c r="AN60" s="33">
        <f t="shared" si="76"/>
        <v>0</v>
      </c>
      <c r="AO60" s="36"/>
    </row>
    <row r="61" spans="1:41" ht="12" customHeight="1">
      <c r="A61" s="100" t="s">
        <v>41</v>
      </c>
      <c r="B61" s="36"/>
      <c r="C61" s="301">
        <f t="shared" si="77"/>
        <v>3916.7804537873681</v>
      </c>
      <c r="D61" s="609">
        <f t="shared" si="75"/>
        <v>2.6920930842595139E-2</v>
      </c>
      <c r="E61" s="33">
        <f t="shared" si="78"/>
        <v>47.109043258610967</v>
      </c>
      <c r="F61" s="33">
        <f t="shared" si="76"/>
        <v>100.94794983988065</v>
      </c>
      <c r="G61" s="33">
        <f t="shared" si="76"/>
        <v>134.5972664531742</v>
      </c>
      <c r="H61" s="33">
        <f t="shared" si="76"/>
        <v>134.5972664531742</v>
      </c>
      <c r="I61" s="33">
        <f t="shared" si="76"/>
        <v>134.5972664531742</v>
      </c>
      <c r="J61" s="33">
        <f t="shared" si="76"/>
        <v>134.5972664531742</v>
      </c>
      <c r="K61" s="33">
        <f t="shared" si="76"/>
        <v>134.5972664531742</v>
      </c>
      <c r="L61" s="33">
        <f t="shared" si="76"/>
        <v>134.5972664531742</v>
      </c>
      <c r="M61" s="33">
        <f t="shared" si="76"/>
        <v>134.5972664531742</v>
      </c>
      <c r="N61" s="33">
        <f t="shared" si="76"/>
        <v>134.5972664531742</v>
      </c>
      <c r="O61" s="33">
        <f t="shared" si="76"/>
        <v>134.5972664531742</v>
      </c>
      <c r="P61" s="33">
        <f t="shared" si="76"/>
        <v>134.5972664531742</v>
      </c>
      <c r="Q61" s="33">
        <f t="shared" si="76"/>
        <v>134.5972664531742</v>
      </c>
      <c r="R61" s="33">
        <f t="shared" si="76"/>
        <v>134.5972664531742</v>
      </c>
      <c r="S61" s="33">
        <f t="shared" si="76"/>
        <v>134.5972664531742</v>
      </c>
      <c r="T61" s="33">
        <f t="shared" si="76"/>
        <v>134.5972664531742</v>
      </c>
      <c r="U61" s="33">
        <f t="shared" si="76"/>
        <v>134.5972664531742</v>
      </c>
      <c r="V61" s="33">
        <f t="shared" si="76"/>
        <v>134.5972664531742</v>
      </c>
      <c r="W61" s="33">
        <f t="shared" si="76"/>
        <v>134.5972664531742</v>
      </c>
      <c r="X61" s="33">
        <f t="shared" si="76"/>
        <v>134.5972664531742</v>
      </c>
      <c r="Y61" s="33">
        <f t="shared" si="76"/>
        <v>134.5972664531742</v>
      </c>
      <c r="Z61" s="33">
        <f t="shared" si="76"/>
        <v>134.5972664531742</v>
      </c>
      <c r="AA61" s="33">
        <f t="shared" si="76"/>
        <v>134.5972664531742</v>
      </c>
      <c r="AB61" s="33">
        <f t="shared" si="76"/>
        <v>134.5972664531742</v>
      </c>
      <c r="AC61" s="33">
        <f t="shared" si="76"/>
        <v>134.5972664531742</v>
      </c>
      <c r="AD61" s="33">
        <f t="shared" si="76"/>
        <v>134.5972664531742</v>
      </c>
      <c r="AE61" s="33">
        <f t="shared" si="76"/>
        <v>134.5972664531742</v>
      </c>
      <c r="AF61" s="33">
        <f t="shared" si="76"/>
        <v>134.5972664531742</v>
      </c>
      <c r="AG61" s="33">
        <f t="shared" si="76"/>
        <v>134.5972664531742</v>
      </c>
      <c r="AH61" s="33">
        <f t="shared" si="76"/>
        <v>134.5972664531742</v>
      </c>
      <c r="AI61" s="33">
        <f t="shared" si="76"/>
        <v>0</v>
      </c>
      <c r="AJ61" s="33">
        <f t="shared" si="76"/>
        <v>0</v>
      </c>
      <c r="AK61" s="33">
        <f t="shared" si="76"/>
        <v>0</v>
      </c>
      <c r="AL61" s="33">
        <f t="shared" si="76"/>
        <v>0</v>
      </c>
      <c r="AM61" s="33">
        <f t="shared" si="76"/>
        <v>0</v>
      </c>
      <c r="AN61" s="33">
        <f t="shared" si="76"/>
        <v>0</v>
      </c>
      <c r="AO61" s="36"/>
    </row>
    <row r="62" spans="1:41" ht="12" customHeight="1">
      <c r="A62" s="100" t="s">
        <v>45</v>
      </c>
      <c r="B62" s="36"/>
      <c r="C62" s="301">
        <f t="shared" si="77"/>
        <v>0</v>
      </c>
      <c r="D62" s="609">
        <f t="shared" si="75"/>
        <v>0</v>
      </c>
      <c r="E62" s="33">
        <f t="shared" si="78"/>
        <v>0</v>
      </c>
      <c r="F62" s="33">
        <f t="shared" si="76"/>
        <v>0</v>
      </c>
      <c r="G62" s="33">
        <f t="shared" si="76"/>
        <v>0</v>
      </c>
      <c r="H62" s="33">
        <f t="shared" si="76"/>
        <v>0</v>
      </c>
      <c r="I62" s="33">
        <f t="shared" si="76"/>
        <v>0</v>
      </c>
      <c r="J62" s="33">
        <f t="shared" si="76"/>
        <v>0</v>
      </c>
      <c r="K62" s="33">
        <f t="shared" si="76"/>
        <v>0</v>
      </c>
      <c r="L62" s="33">
        <f t="shared" si="76"/>
        <v>0</v>
      </c>
      <c r="M62" s="33">
        <f t="shared" si="76"/>
        <v>0</v>
      </c>
      <c r="N62" s="33">
        <f t="shared" si="76"/>
        <v>0</v>
      </c>
      <c r="O62" s="33">
        <f t="shared" si="76"/>
        <v>0</v>
      </c>
      <c r="P62" s="33">
        <f t="shared" si="76"/>
        <v>0</v>
      </c>
      <c r="Q62" s="33">
        <f t="shared" si="76"/>
        <v>0</v>
      </c>
      <c r="R62" s="33">
        <f t="shared" si="76"/>
        <v>0</v>
      </c>
      <c r="S62" s="33">
        <f t="shared" si="76"/>
        <v>0</v>
      </c>
      <c r="T62" s="33">
        <f t="shared" si="76"/>
        <v>0</v>
      </c>
      <c r="U62" s="33">
        <f t="shared" si="76"/>
        <v>0</v>
      </c>
      <c r="V62" s="33">
        <f t="shared" si="76"/>
        <v>0</v>
      </c>
      <c r="W62" s="33">
        <f t="shared" si="76"/>
        <v>0</v>
      </c>
      <c r="X62" s="33">
        <f t="shared" si="76"/>
        <v>0</v>
      </c>
      <c r="Y62" s="33">
        <f t="shared" si="76"/>
        <v>0</v>
      </c>
      <c r="Z62" s="33">
        <f t="shared" si="76"/>
        <v>0</v>
      </c>
      <c r="AA62" s="33">
        <f t="shared" si="76"/>
        <v>0</v>
      </c>
      <c r="AB62" s="33">
        <f t="shared" si="76"/>
        <v>0</v>
      </c>
      <c r="AC62" s="33">
        <f t="shared" si="76"/>
        <v>0</v>
      </c>
      <c r="AD62" s="33">
        <f t="shared" si="76"/>
        <v>0</v>
      </c>
      <c r="AE62" s="33">
        <f t="shared" si="76"/>
        <v>0</v>
      </c>
      <c r="AF62" s="33">
        <f t="shared" si="76"/>
        <v>0</v>
      </c>
      <c r="AG62" s="33">
        <f t="shared" si="76"/>
        <v>0</v>
      </c>
      <c r="AH62" s="33">
        <f t="shared" si="76"/>
        <v>0</v>
      </c>
      <c r="AI62" s="33">
        <f t="shared" si="76"/>
        <v>0</v>
      </c>
      <c r="AJ62" s="33">
        <f t="shared" si="76"/>
        <v>0</v>
      </c>
      <c r="AK62" s="33">
        <f t="shared" si="76"/>
        <v>0</v>
      </c>
      <c r="AL62" s="33">
        <f t="shared" si="76"/>
        <v>0</v>
      </c>
      <c r="AM62" s="33">
        <f t="shared" si="76"/>
        <v>0</v>
      </c>
      <c r="AN62" s="33">
        <f t="shared" si="76"/>
        <v>0</v>
      </c>
      <c r="AO62" s="36"/>
    </row>
    <row r="63" spans="1:41" ht="12" customHeight="1">
      <c r="A63" s="100" t="s">
        <v>49</v>
      </c>
      <c r="B63" s="36"/>
      <c r="C63" s="301">
        <f t="shared" si="77"/>
        <v>4509.7853472178895</v>
      </c>
      <c r="D63" s="609">
        <f t="shared" si="75"/>
        <v>3.0996789551991727E-2</v>
      </c>
      <c r="E63" s="33">
        <f t="shared" si="78"/>
        <v>54.241404519802785</v>
      </c>
      <c r="F63" s="33">
        <f t="shared" si="76"/>
        <v>116.23158111386311</v>
      </c>
      <c r="G63" s="33">
        <f t="shared" si="76"/>
        <v>154.97544148515081</v>
      </c>
      <c r="H63" s="33">
        <f t="shared" si="76"/>
        <v>154.97544148515081</v>
      </c>
      <c r="I63" s="33">
        <f t="shared" si="76"/>
        <v>154.97544148515081</v>
      </c>
      <c r="J63" s="33">
        <f t="shared" si="76"/>
        <v>154.97544148515081</v>
      </c>
      <c r="K63" s="33">
        <f t="shared" si="76"/>
        <v>154.97544148515081</v>
      </c>
      <c r="L63" s="33">
        <f t="shared" si="76"/>
        <v>154.97544148515081</v>
      </c>
      <c r="M63" s="33">
        <f t="shared" si="76"/>
        <v>154.97544148515081</v>
      </c>
      <c r="N63" s="33">
        <f t="shared" si="76"/>
        <v>154.97544148515081</v>
      </c>
      <c r="O63" s="33">
        <f t="shared" si="76"/>
        <v>154.97544148515081</v>
      </c>
      <c r="P63" s="33">
        <f t="shared" si="76"/>
        <v>154.97544148515081</v>
      </c>
      <c r="Q63" s="33">
        <f t="shared" si="76"/>
        <v>154.97544148515081</v>
      </c>
      <c r="R63" s="33">
        <f t="shared" si="76"/>
        <v>154.97544148515081</v>
      </c>
      <c r="S63" s="33">
        <f t="shared" si="76"/>
        <v>154.97544148515081</v>
      </c>
      <c r="T63" s="33">
        <f t="shared" si="76"/>
        <v>154.97544148515081</v>
      </c>
      <c r="U63" s="33">
        <f t="shared" si="76"/>
        <v>154.97544148515081</v>
      </c>
      <c r="V63" s="33">
        <f t="shared" si="76"/>
        <v>154.97544148515081</v>
      </c>
      <c r="W63" s="33">
        <f t="shared" si="76"/>
        <v>154.97544148515081</v>
      </c>
      <c r="X63" s="33">
        <f t="shared" si="76"/>
        <v>154.97544148515081</v>
      </c>
      <c r="Y63" s="33">
        <f t="shared" si="76"/>
        <v>154.97544148515081</v>
      </c>
      <c r="Z63" s="33">
        <f t="shared" si="76"/>
        <v>154.97544148515081</v>
      </c>
      <c r="AA63" s="33">
        <f t="shared" si="76"/>
        <v>154.97544148515081</v>
      </c>
      <c r="AB63" s="33">
        <f t="shared" si="76"/>
        <v>154.97544148515081</v>
      </c>
      <c r="AC63" s="33">
        <f t="shared" si="76"/>
        <v>154.97544148515081</v>
      </c>
      <c r="AD63" s="33">
        <f t="shared" si="76"/>
        <v>154.97544148515081</v>
      </c>
      <c r="AE63" s="33">
        <f t="shared" si="76"/>
        <v>154.97544148515081</v>
      </c>
      <c r="AF63" s="33">
        <f t="shared" si="76"/>
        <v>154.97544148515081</v>
      </c>
      <c r="AG63" s="33">
        <f t="shared" si="76"/>
        <v>154.97544148515081</v>
      </c>
      <c r="AH63" s="33">
        <f t="shared" si="76"/>
        <v>154.97544148515081</v>
      </c>
      <c r="AI63" s="33">
        <f t="shared" si="76"/>
        <v>0</v>
      </c>
      <c r="AJ63" s="33">
        <f t="shared" si="76"/>
        <v>0</v>
      </c>
      <c r="AK63" s="33">
        <f t="shared" si="76"/>
        <v>0</v>
      </c>
      <c r="AL63" s="33">
        <f t="shared" si="76"/>
        <v>0</v>
      </c>
      <c r="AM63" s="33">
        <f t="shared" si="76"/>
        <v>0</v>
      </c>
      <c r="AN63" s="33">
        <f t="shared" si="76"/>
        <v>0</v>
      </c>
      <c r="AO63" s="36"/>
    </row>
    <row r="64" spans="1:41" ht="12" customHeight="1">
      <c r="A64" s="100" t="s">
        <v>52</v>
      </c>
      <c r="B64" s="36"/>
      <c r="C64" s="301">
        <f t="shared" si="77"/>
        <v>2260.1514052353618</v>
      </c>
      <c r="D64" s="609">
        <f t="shared" si="75"/>
        <v>1.5534539245185514E-2</v>
      </c>
      <c r="E64" s="33">
        <f t="shared" si="78"/>
        <v>27.183951609360005</v>
      </c>
      <c r="F64" s="33">
        <f t="shared" si="76"/>
        <v>58.251324877200005</v>
      </c>
      <c r="G64" s="33">
        <f t="shared" si="76"/>
        <v>77.668433169600007</v>
      </c>
      <c r="H64" s="33">
        <f t="shared" si="76"/>
        <v>77.668433169600007</v>
      </c>
      <c r="I64" s="33">
        <f t="shared" si="76"/>
        <v>77.668433169600007</v>
      </c>
      <c r="J64" s="33">
        <f t="shared" si="76"/>
        <v>77.668433169600007</v>
      </c>
      <c r="K64" s="33">
        <f t="shared" si="76"/>
        <v>77.668433169600007</v>
      </c>
      <c r="L64" s="33">
        <f t="shared" si="76"/>
        <v>77.668433169600007</v>
      </c>
      <c r="M64" s="33">
        <f t="shared" si="76"/>
        <v>77.668433169600007</v>
      </c>
      <c r="N64" s="33">
        <f t="shared" si="76"/>
        <v>77.668433169600007</v>
      </c>
      <c r="O64" s="33">
        <f t="shared" si="76"/>
        <v>77.668433169600007</v>
      </c>
      <c r="P64" s="33">
        <f t="shared" si="76"/>
        <v>77.668433169600007</v>
      </c>
      <c r="Q64" s="33">
        <f t="shared" si="76"/>
        <v>77.668433169600007</v>
      </c>
      <c r="R64" s="33">
        <f t="shared" si="76"/>
        <v>77.668433169600007</v>
      </c>
      <c r="S64" s="33">
        <f t="shared" si="76"/>
        <v>77.668433169600007</v>
      </c>
      <c r="T64" s="33">
        <f t="shared" si="76"/>
        <v>77.668433169600007</v>
      </c>
      <c r="U64" s="33">
        <f t="shared" si="76"/>
        <v>77.668433169600007</v>
      </c>
      <c r="V64" s="33">
        <f t="shared" si="76"/>
        <v>77.668433169600007</v>
      </c>
      <c r="W64" s="33">
        <f t="shared" si="76"/>
        <v>77.668433169600007</v>
      </c>
      <c r="X64" s="33">
        <f t="shared" si="76"/>
        <v>77.668433169600007</v>
      </c>
      <c r="Y64" s="33">
        <f t="shared" si="76"/>
        <v>77.668433169600007</v>
      </c>
      <c r="Z64" s="33">
        <f t="shared" si="76"/>
        <v>77.668433169600007</v>
      </c>
      <c r="AA64" s="33">
        <f t="shared" si="76"/>
        <v>77.668433169600007</v>
      </c>
      <c r="AB64" s="33">
        <f t="shared" si="76"/>
        <v>77.668433169600007</v>
      </c>
      <c r="AC64" s="33">
        <f t="shared" si="76"/>
        <v>77.668433169600007</v>
      </c>
      <c r="AD64" s="33">
        <f t="shared" si="76"/>
        <v>77.668433169600007</v>
      </c>
      <c r="AE64" s="33">
        <f t="shared" ref="F64:AN71" si="79">AE16*0.8</f>
        <v>77.668433169600007</v>
      </c>
      <c r="AF64" s="33">
        <f t="shared" si="79"/>
        <v>77.668433169600007</v>
      </c>
      <c r="AG64" s="33">
        <f t="shared" si="79"/>
        <v>77.668433169600007</v>
      </c>
      <c r="AH64" s="33">
        <f t="shared" si="79"/>
        <v>77.668433169600007</v>
      </c>
      <c r="AI64" s="33">
        <f t="shared" si="79"/>
        <v>0</v>
      </c>
      <c r="AJ64" s="33">
        <f t="shared" si="79"/>
        <v>0</v>
      </c>
      <c r="AK64" s="33">
        <f t="shared" si="79"/>
        <v>0</v>
      </c>
      <c r="AL64" s="33">
        <f t="shared" si="79"/>
        <v>0</v>
      </c>
      <c r="AM64" s="33">
        <f t="shared" si="79"/>
        <v>0</v>
      </c>
      <c r="AN64" s="33">
        <f t="shared" si="79"/>
        <v>0</v>
      </c>
      <c r="AO64" s="36"/>
    </row>
    <row r="65" spans="1:41" ht="12" customHeight="1">
      <c r="A65" s="100" t="s">
        <v>56</v>
      </c>
      <c r="B65" s="36"/>
      <c r="C65" s="301">
        <f t="shared" si="77"/>
        <v>998.9143104100948</v>
      </c>
      <c r="D65" s="609">
        <f t="shared" si="75"/>
        <v>6.8657672763418713E-3</v>
      </c>
      <c r="E65" s="33">
        <f t="shared" si="78"/>
        <v>12.01443328671936</v>
      </c>
      <c r="F65" s="33">
        <f t="shared" si="79"/>
        <v>25.745214185827201</v>
      </c>
      <c r="G65" s="33">
        <f t="shared" si="79"/>
        <v>34.326952247769604</v>
      </c>
      <c r="H65" s="33">
        <f t="shared" si="79"/>
        <v>34.326952247769604</v>
      </c>
      <c r="I65" s="33">
        <f t="shared" si="79"/>
        <v>34.326952247769604</v>
      </c>
      <c r="J65" s="33">
        <f t="shared" si="79"/>
        <v>34.326952247769604</v>
      </c>
      <c r="K65" s="33">
        <f t="shared" si="79"/>
        <v>34.326952247769604</v>
      </c>
      <c r="L65" s="33">
        <f t="shared" si="79"/>
        <v>34.326952247769604</v>
      </c>
      <c r="M65" s="33">
        <f t="shared" si="79"/>
        <v>34.326952247769604</v>
      </c>
      <c r="N65" s="33">
        <f t="shared" si="79"/>
        <v>34.326952247769604</v>
      </c>
      <c r="O65" s="33">
        <f t="shared" si="79"/>
        <v>34.326952247769604</v>
      </c>
      <c r="P65" s="33">
        <f t="shared" si="79"/>
        <v>34.326952247769604</v>
      </c>
      <c r="Q65" s="33">
        <f t="shared" si="79"/>
        <v>34.326952247769604</v>
      </c>
      <c r="R65" s="33">
        <f t="shared" si="79"/>
        <v>34.326952247769604</v>
      </c>
      <c r="S65" s="33">
        <f t="shared" si="79"/>
        <v>34.326952247769604</v>
      </c>
      <c r="T65" s="33">
        <f t="shared" si="79"/>
        <v>34.326952247769604</v>
      </c>
      <c r="U65" s="33">
        <f t="shared" si="79"/>
        <v>34.326952247769604</v>
      </c>
      <c r="V65" s="33">
        <f t="shared" si="79"/>
        <v>34.326952247769604</v>
      </c>
      <c r="W65" s="33">
        <f t="shared" si="79"/>
        <v>34.326952247769604</v>
      </c>
      <c r="X65" s="33">
        <f t="shared" si="79"/>
        <v>34.326952247769604</v>
      </c>
      <c r="Y65" s="33">
        <f t="shared" si="79"/>
        <v>34.326952247769604</v>
      </c>
      <c r="Z65" s="33">
        <f t="shared" si="79"/>
        <v>34.326952247769604</v>
      </c>
      <c r="AA65" s="33">
        <f t="shared" si="79"/>
        <v>34.326952247769604</v>
      </c>
      <c r="AB65" s="33">
        <f t="shared" si="79"/>
        <v>34.326952247769604</v>
      </c>
      <c r="AC65" s="33">
        <f t="shared" si="79"/>
        <v>34.326952247769604</v>
      </c>
      <c r="AD65" s="33">
        <f t="shared" si="79"/>
        <v>34.326952247769604</v>
      </c>
      <c r="AE65" s="33">
        <f t="shared" si="79"/>
        <v>34.326952247769604</v>
      </c>
      <c r="AF65" s="33">
        <f t="shared" si="79"/>
        <v>34.326952247769604</v>
      </c>
      <c r="AG65" s="33">
        <f t="shared" si="79"/>
        <v>34.326952247769604</v>
      </c>
      <c r="AH65" s="33">
        <f t="shared" si="79"/>
        <v>34.326952247769604</v>
      </c>
      <c r="AI65" s="33">
        <f t="shared" si="79"/>
        <v>0</v>
      </c>
      <c r="AJ65" s="33">
        <f t="shared" si="79"/>
        <v>0</v>
      </c>
      <c r="AK65" s="33">
        <f t="shared" si="79"/>
        <v>0</v>
      </c>
      <c r="AL65" s="33">
        <f t="shared" si="79"/>
        <v>0</v>
      </c>
      <c r="AM65" s="33">
        <f t="shared" si="79"/>
        <v>0</v>
      </c>
      <c r="AN65" s="33">
        <f t="shared" si="79"/>
        <v>0</v>
      </c>
      <c r="AO65" s="36"/>
    </row>
    <row r="66" spans="1:41" ht="12" customHeight="1">
      <c r="A66" s="100" t="str">
        <f>A18</f>
        <v>Gestão de Resíduos</v>
      </c>
      <c r="B66" s="36"/>
      <c r="C66" s="607">
        <f t="shared" si="77"/>
        <v>1593.6527574066649</v>
      </c>
      <c r="D66" s="609">
        <f t="shared" si="75"/>
        <v>1.0953541097196496E-2</v>
      </c>
      <c r="E66" s="608">
        <f t="shared" si="78"/>
        <v>19.167644848533765</v>
      </c>
      <c r="F66" s="608">
        <f t="shared" si="79"/>
        <v>41.073524675429496</v>
      </c>
      <c r="G66" s="608">
        <f t="shared" si="79"/>
        <v>54.764699567239326</v>
      </c>
      <c r="H66" s="608">
        <f t="shared" si="79"/>
        <v>54.764699567239326</v>
      </c>
      <c r="I66" s="608">
        <f t="shared" si="79"/>
        <v>54.764699567239326</v>
      </c>
      <c r="J66" s="608">
        <f t="shared" si="79"/>
        <v>54.764699567239326</v>
      </c>
      <c r="K66" s="608">
        <f t="shared" si="79"/>
        <v>54.764699567239326</v>
      </c>
      <c r="L66" s="608">
        <f t="shared" si="79"/>
        <v>54.764699567239326</v>
      </c>
      <c r="M66" s="608">
        <f t="shared" si="79"/>
        <v>54.764699567239326</v>
      </c>
      <c r="N66" s="608">
        <f t="shared" si="79"/>
        <v>54.764699567239326</v>
      </c>
      <c r="O66" s="608">
        <f t="shared" si="79"/>
        <v>54.764699567239326</v>
      </c>
      <c r="P66" s="608">
        <f t="shared" si="79"/>
        <v>54.764699567239326</v>
      </c>
      <c r="Q66" s="608">
        <f t="shared" si="79"/>
        <v>54.764699567239326</v>
      </c>
      <c r="R66" s="608">
        <f t="shared" si="79"/>
        <v>54.764699567239326</v>
      </c>
      <c r="S66" s="608">
        <f t="shared" si="79"/>
        <v>54.764699567239326</v>
      </c>
      <c r="T66" s="608">
        <f t="shared" si="79"/>
        <v>54.764699567239326</v>
      </c>
      <c r="U66" s="608">
        <f t="shared" si="79"/>
        <v>54.764699567239326</v>
      </c>
      <c r="V66" s="608">
        <f t="shared" si="79"/>
        <v>54.764699567239326</v>
      </c>
      <c r="W66" s="608">
        <f t="shared" si="79"/>
        <v>54.764699567239326</v>
      </c>
      <c r="X66" s="608">
        <f t="shared" si="79"/>
        <v>54.764699567239326</v>
      </c>
      <c r="Y66" s="608">
        <f t="shared" si="79"/>
        <v>54.764699567239326</v>
      </c>
      <c r="Z66" s="608">
        <f t="shared" si="79"/>
        <v>54.764699567239326</v>
      </c>
      <c r="AA66" s="608">
        <f t="shared" si="79"/>
        <v>54.764699567239326</v>
      </c>
      <c r="AB66" s="608">
        <f t="shared" si="79"/>
        <v>54.764699567239326</v>
      </c>
      <c r="AC66" s="608">
        <f t="shared" si="79"/>
        <v>54.764699567239326</v>
      </c>
      <c r="AD66" s="608">
        <f t="shared" si="79"/>
        <v>54.764699567239326</v>
      </c>
      <c r="AE66" s="608">
        <f t="shared" si="79"/>
        <v>54.764699567239326</v>
      </c>
      <c r="AF66" s="608">
        <f t="shared" si="79"/>
        <v>54.764699567239326</v>
      </c>
      <c r="AG66" s="608">
        <f t="shared" si="79"/>
        <v>54.764699567239326</v>
      </c>
      <c r="AH66" s="608">
        <f t="shared" si="79"/>
        <v>54.764699567239326</v>
      </c>
      <c r="AI66" s="608">
        <f t="shared" si="79"/>
        <v>0</v>
      </c>
      <c r="AJ66" s="608">
        <f t="shared" si="79"/>
        <v>0</v>
      </c>
      <c r="AK66" s="608">
        <f t="shared" si="79"/>
        <v>0</v>
      </c>
      <c r="AL66" s="608">
        <f t="shared" si="79"/>
        <v>0</v>
      </c>
      <c r="AM66" s="608">
        <f t="shared" si="79"/>
        <v>0</v>
      </c>
      <c r="AN66" s="608">
        <f t="shared" si="79"/>
        <v>0</v>
      </c>
      <c r="AO66" s="36"/>
    </row>
    <row r="67" spans="1:41" ht="12" customHeight="1">
      <c r="A67" s="100" t="s">
        <v>61</v>
      </c>
      <c r="B67" s="36"/>
      <c r="C67" s="301">
        <f t="shared" si="77"/>
        <v>3774.4551721355256</v>
      </c>
      <c r="D67" s="609">
        <f t="shared" si="75"/>
        <v>2.5942696522415872E-2</v>
      </c>
      <c r="E67" s="33">
        <f t="shared" si="78"/>
        <v>45.397227156269189</v>
      </c>
      <c r="F67" s="33">
        <f t="shared" si="79"/>
        <v>97.279772477719689</v>
      </c>
      <c r="G67" s="33">
        <f t="shared" si="79"/>
        <v>129.70636330362626</v>
      </c>
      <c r="H67" s="33">
        <f t="shared" si="79"/>
        <v>129.70636330362626</v>
      </c>
      <c r="I67" s="33">
        <f t="shared" si="79"/>
        <v>129.70636330362626</v>
      </c>
      <c r="J67" s="33">
        <f t="shared" si="79"/>
        <v>129.70636330362626</v>
      </c>
      <c r="K67" s="33">
        <f t="shared" si="79"/>
        <v>129.70636330362626</v>
      </c>
      <c r="L67" s="33">
        <f t="shared" si="79"/>
        <v>129.70636330362626</v>
      </c>
      <c r="M67" s="33">
        <f t="shared" si="79"/>
        <v>129.70636330362626</v>
      </c>
      <c r="N67" s="33">
        <f t="shared" si="79"/>
        <v>129.70636330362626</v>
      </c>
      <c r="O67" s="33">
        <f t="shared" si="79"/>
        <v>129.70636330362626</v>
      </c>
      <c r="P67" s="33">
        <f t="shared" si="79"/>
        <v>129.70636330362626</v>
      </c>
      <c r="Q67" s="33">
        <f t="shared" si="79"/>
        <v>129.70636330362626</v>
      </c>
      <c r="R67" s="33">
        <f t="shared" si="79"/>
        <v>129.70636330362626</v>
      </c>
      <c r="S67" s="33">
        <f t="shared" si="79"/>
        <v>129.70636330362626</v>
      </c>
      <c r="T67" s="33">
        <f t="shared" si="79"/>
        <v>129.70636330362626</v>
      </c>
      <c r="U67" s="33">
        <f t="shared" si="79"/>
        <v>129.70636330362626</v>
      </c>
      <c r="V67" s="33">
        <f t="shared" si="79"/>
        <v>129.70636330362626</v>
      </c>
      <c r="W67" s="33">
        <f t="shared" si="79"/>
        <v>129.70636330362626</v>
      </c>
      <c r="X67" s="33">
        <f t="shared" si="79"/>
        <v>129.70636330362626</v>
      </c>
      <c r="Y67" s="33">
        <f t="shared" si="79"/>
        <v>129.70636330362626</v>
      </c>
      <c r="Z67" s="33">
        <f t="shared" si="79"/>
        <v>129.70636330362626</v>
      </c>
      <c r="AA67" s="33">
        <f t="shared" si="79"/>
        <v>129.70636330362626</v>
      </c>
      <c r="AB67" s="33">
        <f t="shared" si="79"/>
        <v>129.70636330362626</v>
      </c>
      <c r="AC67" s="33">
        <f t="shared" si="79"/>
        <v>129.70636330362626</v>
      </c>
      <c r="AD67" s="33">
        <f t="shared" si="79"/>
        <v>129.70636330362626</v>
      </c>
      <c r="AE67" s="33">
        <f t="shared" si="79"/>
        <v>129.70636330362626</v>
      </c>
      <c r="AF67" s="33">
        <f t="shared" si="79"/>
        <v>129.70636330362626</v>
      </c>
      <c r="AG67" s="33">
        <f t="shared" si="79"/>
        <v>129.70636330362626</v>
      </c>
      <c r="AH67" s="33">
        <f t="shared" si="79"/>
        <v>129.70636330362626</v>
      </c>
      <c r="AI67" s="33">
        <f t="shared" si="79"/>
        <v>0</v>
      </c>
      <c r="AJ67" s="33">
        <f t="shared" si="79"/>
        <v>0</v>
      </c>
      <c r="AK67" s="33">
        <f t="shared" si="79"/>
        <v>0</v>
      </c>
      <c r="AL67" s="33">
        <f t="shared" si="79"/>
        <v>0</v>
      </c>
      <c r="AM67" s="33">
        <f t="shared" si="79"/>
        <v>0</v>
      </c>
      <c r="AN67" s="33">
        <f t="shared" si="79"/>
        <v>0</v>
      </c>
      <c r="AO67" s="36"/>
    </row>
    <row r="68" spans="1:41" ht="12" customHeight="1">
      <c r="A68" s="100" t="s">
        <v>63</v>
      </c>
      <c r="B68" s="36"/>
      <c r="C68" s="301">
        <f t="shared" si="77"/>
        <v>35559.576622011395</v>
      </c>
      <c r="D68" s="609">
        <f t="shared" si="75"/>
        <v>0.24440912998007439</v>
      </c>
      <c r="E68" s="33">
        <f t="shared" si="78"/>
        <v>427.69250232659761</v>
      </c>
      <c r="F68" s="33">
        <f t="shared" si="79"/>
        <v>916.48393355699488</v>
      </c>
      <c r="G68" s="33">
        <f t="shared" si="79"/>
        <v>1221.9785780759933</v>
      </c>
      <c r="H68" s="33">
        <f t="shared" si="79"/>
        <v>1221.9785780759933</v>
      </c>
      <c r="I68" s="33">
        <f t="shared" si="79"/>
        <v>1221.9785780759933</v>
      </c>
      <c r="J68" s="33">
        <f t="shared" si="79"/>
        <v>1221.9785780759933</v>
      </c>
      <c r="K68" s="33">
        <f t="shared" si="79"/>
        <v>1221.9785780759933</v>
      </c>
      <c r="L68" s="33">
        <f t="shared" si="79"/>
        <v>1221.9785780759933</v>
      </c>
      <c r="M68" s="33">
        <f t="shared" si="79"/>
        <v>1221.9785780759933</v>
      </c>
      <c r="N68" s="33">
        <f t="shared" si="79"/>
        <v>1221.9785780759933</v>
      </c>
      <c r="O68" s="33">
        <f t="shared" si="79"/>
        <v>1221.9785780759933</v>
      </c>
      <c r="P68" s="33">
        <f t="shared" si="79"/>
        <v>1221.9785780759933</v>
      </c>
      <c r="Q68" s="33">
        <f t="shared" si="79"/>
        <v>1221.9785780759933</v>
      </c>
      <c r="R68" s="33">
        <f t="shared" si="79"/>
        <v>1221.9785780759933</v>
      </c>
      <c r="S68" s="33">
        <f t="shared" si="79"/>
        <v>1221.9785780759933</v>
      </c>
      <c r="T68" s="33">
        <f t="shared" si="79"/>
        <v>1221.9785780759933</v>
      </c>
      <c r="U68" s="33">
        <f t="shared" si="79"/>
        <v>1221.9785780759933</v>
      </c>
      <c r="V68" s="33">
        <f t="shared" si="79"/>
        <v>1221.9785780759933</v>
      </c>
      <c r="W68" s="33">
        <f t="shared" si="79"/>
        <v>1221.9785780759933</v>
      </c>
      <c r="X68" s="33">
        <f t="shared" si="79"/>
        <v>1221.9785780759933</v>
      </c>
      <c r="Y68" s="33">
        <f t="shared" si="79"/>
        <v>1221.9785780759933</v>
      </c>
      <c r="Z68" s="33">
        <f t="shared" si="79"/>
        <v>1221.9785780759933</v>
      </c>
      <c r="AA68" s="33">
        <f t="shared" si="79"/>
        <v>1221.9785780759933</v>
      </c>
      <c r="AB68" s="33">
        <f t="shared" si="79"/>
        <v>1221.9785780759933</v>
      </c>
      <c r="AC68" s="33">
        <f t="shared" si="79"/>
        <v>1221.9785780759933</v>
      </c>
      <c r="AD68" s="33">
        <f t="shared" si="79"/>
        <v>1221.9785780759933</v>
      </c>
      <c r="AE68" s="33">
        <f t="shared" si="79"/>
        <v>1221.9785780759933</v>
      </c>
      <c r="AF68" s="33">
        <f t="shared" si="79"/>
        <v>1221.9785780759933</v>
      </c>
      <c r="AG68" s="33">
        <f t="shared" si="79"/>
        <v>1221.9785780759933</v>
      </c>
      <c r="AH68" s="33">
        <f t="shared" si="79"/>
        <v>1221.9785780759933</v>
      </c>
      <c r="AI68" s="33">
        <f t="shared" si="79"/>
        <v>0</v>
      </c>
      <c r="AJ68" s="33">
        <f t="shared" si="79"/>
        <v>0</v>
      </c>
      <c r="AK68" s="33">
        <f t="shared" si="79"/>
        <v>0</v>
      </c>
      <c r="AL68" s="33">
        <f t="shared" si="79"/>
        <v>0</v>
      </c>
      <c r="AM68" s="33">
        <f t="shared" si="79"/>
        <v>0</v>
      </c>
      <c r="AN68" s="33">
        <f t="shared" si="79"/>
        <v>0</v>
      </c>
      <c r="AO68" s="36"/>
    </row>
    <row r="69" spans="1:41" ht="12" customHeight="1">
      <c r="A69" s="100" t="s">
        <v>65</v>
      </c>
      <c r="B69" s="36"/>
      <c r="C69" s="301">
        <f t="shared" si="77"/>
        <v>2000.7460559999993</v>
      </c>
      <c r="D69" s="609">
        <f t="shared" si="75"/>
        <v>1.3751586754138501E-2</v>
      </c>
      <c r="E69" s="33">
        <f t="shared" si="78"/>
        <v>24.063956000000001</v>
      </c>
      <c r="F69" s="33">
        <f t="shared" si="79"/>
        <v>51.565620000000003</v>
      </c>
      <c r="G69" s="33">
        <f t="shared" si="79"/>
        <v>68.754159999999999</v>
      </c>
      <c r="H69" s="33">
        <f t="shared" si="79"/>
        <v>68.754159999999999</v>
      </c>
      <c r="I69" s="33">
        <f t="shared" si="79"/>
        <v>68.754159999999999</v>
      </c>
      <c r="J69" s="33">
        <f t="shared" si="79"/>
        <v>68.754159999999999</v>
      </c>
      <c r="K69" s="33">
        <f t="shared" si="79"/>
        <v>68.754159999999999</v>
      </c>
      <c r="L69" s="33">
        <f t="shared" si="79"/>
        <v>68.754159999999999</v>
      </c>
      <c r="M69" s="33">
        <f t="shared" si="79"/>
        <v>68.754159999999999</v>
      </c>
      <c r="N69" s="33">
        <f t="shared" si="79"/>
        <v>68.754159999999999</v>
      </c>
      <c r="O69" s="33">
        <f t="shared" si="79"/>
        <v>68.754159999999999</v>
      </c>
      <c r="P69" s="33">
        <f t="shared" si="79"/>
        <v>68.754159999999999</v>
      </c>
      <c r="Q69" s="33">
        <f t="shared" si="79"/>
        <v>68.754159999999999</v>
      </c>
      <c r="R69" s="33">
        <f t="shared" si="79"/>
        <v>68.754159999999999</v>
      </c>
      <c r="S69" s="33">
        <f t="shared" si="79"/>
        <v>68.754159999999999</v>
      </c>
      <c r="T69" s="33">
        <f t="shared" si="79"/>
        <v>68.754159999999999</v>
      </c>
      <c r="U69" s="33">
        <f t="shared" si="79"/>
        <v>68.754159999999999</v>
      </c>
      <c r="V69" s="33">
        <f t="shared" si="79"/>
        <v>68.754159999999999</v>
      </c>
      <c r="W69" s="33">
        <f t="shared" si="79"/>
        <v>68.754159999999999</v>
      </c>
      <c r="X69" s="33">
        <f t="shared" si="79"/>
        <v>68.754159999999999</v>
      </c>
      <c r="Y69" s="33">
        <f t="shared" si="79"/>
        <v>68.754159999999999</v>
      </c>
      <c r="Z69" s="33">
        <f t="shared" si="79"/>
        <v>68.754159999999999</v>
      </c>
      <c r="AA69" s="33">
        <f t="shared" si="79"/>
        <v>68.754159999999999</v>
      </c>
      <c r="AB69" s="33">
        <f t="shared" si="79"/>
        <v>68.754159999999999</v>
      </c>
      <c r="AC69" s="33">
        <f t="shared" si="79"/>
        <v>68.754159999999999</v>
      </c>
      <c r="AD69" s="33">
        <f t="shared" si="79"/>
        <v>68.754159999999999</v>
      </c>
      <c r="AE69" s="33">
        <f t="shared" si="79"/>
        <v>68.754159999999999</v>
      </c>
      <c r="AF69" s="33">
        <f t="shared" si="79"/>
        <v>68.754159999999999</v>
      </c>
      <c r="AG69" s="33">
        <f t="shared" si="79"/>
        <v>68.754159999999999</v>
      </c>
      <c r="AH69" s="33">
        <f t="shared" si="79"/>
        <v>68.754159999999999</v>
      </c>
      <c r="AI69" s="33">
        <f t="shared" si="79"/>
        <v>0</v>
      </c>
      <c r="AJ69" s="33">
        <f t="shared" si="79"/>
        <v>0</v>
      </c>
      <c r="AK69" s="33">
        <f t="shared" si="79"/>
        <v>0</v>
      </c>
      <c r="AL69" s="33">
        <f t="shared" si="79"/>
        <v>0</v>
      </c>
      <c r="AM69" s="33">
        <f t="shared" si="79"/>
        <v>0</v>
      </c>
      <c r="AN69" s="33">
        <f t="shared" si="79"/>
        <v>0</v>
      </c>
      <c r="AO69" s="36"/>
    </row>
    <row r="70" spans="1:41" ht="12" customHeight="1">
      <c r="A70" s="100" t="s">
        <v>69</v>
      </c>
      <c r="B70" s="36"/>
      <c r="C70" s="301">
        <f t="shared" si="77"/>
        <v>23424.418473401049</v>
      </c>
      <c r="D70" s="609">
        <f t="shared" si="75"/>
        <v>0.16100140336961344</v>
      </c>
      <c r="E70" s="33">
        <f t="shared" si="78"/>
        <v>281.73699194812269</v>
      </c>
      <c r="F70" s="33">
        <f t="shared" si="79"/>
        <v>603.72212560312016</v>
      </c>
      <c r="G70" s="33">
        <f t="shared" si="79"/>
        <v>804.96283413749359</v>
      </c>
      <c r="H70" s="33">
        <f t="shared" si="79"/>
        <v>804.96283413749359</v>
      </c>
      <c r="I70" s="33">
        <f t="shared" si="79"/>
        <v>804.96283413749359</v>
      </c>
      <c r="J70" s="33">
        <f t="shared" si="79"/>
        <v>804.96283413749359</v>
      </c>
      <c r="K70" s="33">
        <f t="shared" si="79"/>
        <v>804.96283413749359</v>
      </c>
      <c r="L70" s="33">
        <f t="shared" si="79"/>
        <v>804.96283413749359</v>
      </c>
      <c r="M70" s="33">
        <f t="shared" si="79"/>
        <v>804.96283413749359</v>
      </c>
      <c r="N70" s="33">
        <f t="shared" si="79"/>
        <v>804.96283413749359</v>
      </c>
      <c r="O70" s="33">
        <f t="shared" si="79"/>
        <v>804.96283413749359</v>
      </c>
      <c r="P70" s="33">
        <f t="shared" si="79"/>
        <v>804.96283413749359</v>
      </c>
      <c r="Q70" s="33">
        <f t="shared" si="79"/>
        <v>804.96283413749359</v>
      </c>
      <c r="R70" s="33">
        <f t="shared" si="79"/>
        <v>804.96283413749359</v>
      </c>
      <c r="S70" s="33">
        <f t="shared" si="79"/>
        <v>804.96283413749359</v>
      </c>
      <c r="T70" s="33">
        <f t="shared" si="79"/>
        <v>804.96283413749359</v>
      </c>
      <c r="U70" s="33">
        <f t="shared" si="79"/>
        <v>804.96283413749359</v>
      </c>
      <c r="V70" s="33">
        <f t="shared" si="79"/>
        <v>804.96283413749359</v>
      </c>
      <c r="W70" s="33">
        <f t="shared" si="79"/>
        <v>804.96283413749359</v>
      </c>
      <c r="X70" s="33">
        <f t="shared" si="79"/>
        <v>804.96283413749359</v>
      </c>
      <c r="Y70" s="33">
        <f t="shared" si="79"/>
        <v>804.96283413749359</v>
      </c>
      <c r="Z70" s="33">
        <f t="shared" si="79"/>
        <v>804.96283413749359</v>
      </c>
      <c r="AA70" s="33">
        <f t="shared" si="79"/>
        <v>804.96283413749359</v>
      </c>
      <c r="AB70" s="33">
        <f t="shared" si="79"/>
        <v>804.96283413749359</v>
      </c>
      <c r="AC70" s="33">
        <f t="shared" si="79"/>
        <v>804.96283413749359</v>
      </c>
      <c r="AD70" s="33">
        <f t="shared" si="79"/>
        <v>804.96283413749359</v>
      </c>
      <c r="AE70" s="33">
        <f t="shared" si="79"/>
        <v>804.96283413749359</v>
      </c>
      <c r="AF70" s="33">
        <f t="shared" si="79"/>
        <v>804.96283413749359</v>
      </c>
      <c r="AG70" s="33">
        <f t="shared" si="79"/>
        <v>804.96283413749359</v>
      </c>
      <c r="AH70" s="33">
        <f t="shared" si="79"/>
        <v>804.96283413749359</v>
      </c>
      <c r="AI70" s="33">
        <f t="shared" si="79"/>
        <v>0</v>
      </c>
      <c r="AJ70" s="33">
        <f t="shared" si="79"/>
        <v>0</v>
      </c>
      <c r="AK70" s="33">
        <f t="shared" si="79"/>
        <v>0</v>
      </c>
      <c r="AL70" s="33">
        <f t="shared" si="79"/>
        <v>0</v>
      </c>
      <c r="AM70" s="33">
        <f t="shared" si="79"/>
        <v>0</v>
      </c>
      <c r="AN70" s="33">
        <f t="shared" si="79"/>
        <v>0</v>
      </c>
      <c r="AO70" s="36"/>
    </row>
    <row r="71" spans="1:41" ht="12" customHeight="1">
      <c r="A71" s="100" t="s">
        <v>73</v>
      </c>
      <c r="B71" s="36"/>
      <c r="C71" s="301">
        <f t="shared" si="77"/>
        <v>11032.281212096652</v>
      </c>
      <c r="D71" s="609">
        <f t="shared" si="75"/>
        <v>7.5827400348602483E-2</v>
      </c>
      <c r="E71" s="33">
        <f t="shared" si="78"/>
        <v>132.6906674994442</v>
      </c>
      <c r="F71" s="33">
        <f t="shared" si="79"/>
        <v>284.33714464166616</v>
      </c>
      <c r="G71" s="33">
        <f t="shared" si="79"/>
        <v>379.11619285555491</v>
      </c>
      <c r="H71" s="33">
        <f t="shared" si="79"/>
        <v>379.11619285555491</v>
      </c>
      <c r="I71" s="33">
        <f t="shared" si="79"/>
        <v>379.11619285555491</v>
      </c>
      <c r="J71" s="33">
        <f t="shared" si="79"/>
        <v>379.11619285555491</v>
      </c>
      <c r="K71" s="33">
        <f t="shared" si="79"/>
        <v>379.11619285555491</v>
      </c>
      <c r="L71" s="33">
        <f t="shared" si="79"/>
        <v>379.11619285555491</v>
      </c>
      <c r="M71" s="33">
        <f t="shared" si="79"/>
        <v>379.11619285555491</v>
      </c>
      <c r="N71" s="33">
        <f t="shared" si="79"/>
        <v>379.11619285555491</v>
      </c>
      <c r="O71" s="33">
        <f t="shared" si="79"/>
        <v>379.11619285555491</v>
      </c>
      <c r="P71" s="33">
        <f t="shared" si="79"/>
        <v>379.11619285555491</v>
      </c>
      <c r="Q71" s="33">
        <f t="shared" si="79"/>
        <v>379.11619285555491</v>
      </c>
      <c r="R71" s="33">
        <f t="shared" si="79"/>
        <v>379.11619285555491</v>
      </c>
      <c r="S71" s="33">
        <f t="shared" si="79"/>
        <v>379.11619285555491</v>
      </c>
      <c r="T71" s="33">
        <f t="shared" si="79"/>
        <v>379.11619285555491</v>
      </c>
      <c r="U71" s="33">
        <f t="shared" si="79"/>
        <v>379.11619285555491</v>
      </c>
      <c r="V71" s="33">
        <f t="shared" si="79"/>
        <v>379.11619285555491</v>
      </c>
      <c r="W71" s="33">
        <f t="shared" si="79"/>
        <v>379.11619285555491</v>
      </c>
      <c r="X71" s="33">
        <f t="shared" si="79"/>
        <v>379.11619285555491</v>
      </c>
      <c r="Y71" s="33">
        <f t="shared" si="79"/>
        <v>379.11619285555491</v>
      </c>
      <c r="Z71" s="33">
        <f t="shared" si="79"/>
        <v>379.11619285555491</v>
      </c>
      <c r="AA71" s="33">
        <f t="shared" si="79"/>
        <v>379.11619285555491</v>
      </c>
      <c r="AB71" s="33">
        <f t="shared" si="79"/>
        <v>379.11619285555491</v>
      </c>
      <c r="AC71" s="33">
        <f t="shared" si="79"/>
        <v>379.11619285555491</v>
      </c>
      <c r="AD71" s="33">
        <f t="shared" si="79"/>
        <v>379.11619285555491</v>
      </c>
      <c r="AE71" s="33">
        <f t="shared" si="79"/>
        <v>379.11619285555491</v>
      </c>
      <c r="AF71" s="33">
        <f t="shared" si="79"/>
        <v>379.11619285555491</v>
      </c>
      <c r="AG71" s="33">
        <f t="shared" si="79"/>
        <v>379.11619285555491</v>
      </c>
      <c r="AH71" s="33">
        <f t="shared" si="79"/>
        <v>379.11619285555491</v>
      </c>
      <c r="AI71" s="33">
        <f t="shared" si="79"/>
        <v>0</v>
      </c>
      <c r="AJ71" s="33">
        <f t="shared" si="79"/>
        <v>0</v>
      </c>
      <c r="AK71" s="33">
        <f t="shared" si="79"/>
        <v>0</v>
      </c>
      <c r="AL71" s="33">
        <f t="shared" si="79"/>
        <v>0</v>
      </c>
      <c r="AM71" s="33">
        <f t="shared" si="79"/>
        <v>0</v>
      </c>
      <c r="AN71" s="33">
        <f t="shared" si="79"/>
        <v>0</v>
      </c>
      <c r="AO71" s="36"/>
    </row>
    <row r="72" spans="1:41" ht="12" customHeight="1">
      <c r="A72" s="100" t="s">
        <v>77</v>
      </c>
      <c r="B72" s="36"/>
      <c r="C72" s="301">
        <f t="shared" si="77"/>
        <v>7454.3873273861382</v>
      </c>
      <c r="D72" s="609">
        <f t="shared" si="75"/>
        <v>5.123571465958255E-2</v>
      </c>
      <c r="E72" s="33">
        <f t="shared" si="78"/>
        <v>89.657579539008552</v>
      </c>
      <c r="F72" s="33">
        <f t="shared" ref="F72:AN74" si="80">F24*0.8</f>
        <v>192.12338472644691</v>
      </c>
      <c r="G72" s="33">
        <f t="shared" si="80"/>
        <v>256.16451296859589</v>
      </c>
      <c r="H72" s="33">
        <f t="shared" si="80"/>
        <v>256.16451296859589</v>
      </c>
      <c r="I72" s="33">
        <f t="shared" si="80"/>
        <v>256.16451296859589</v>
      </c>
      <c r="J72" s="33">
        <f t="shared" si="80"/>
        <v>256.16451296859589</v>
      </c>
      <c r="K72" s="33">
        <f t="shared" si="80"/>
        <v>256.16451296859589</v>
      </c>
      <c r="L72" s="33">
        <f t="shared" si="80"/>
        <v>256.16451296859589</v>
      </c>
      <c r="M72" s="33">
        <f t="shared" si="80"/>
        <v>256.16451296859589</v>
      </c>
      <c r="N72" s="33">
        <f t="shared" si="80"/>
        <v>256.16451296859589</v>
      </c>
      <c r="O72" s="33">
        <f t="shared" si="80"/>
        <v>256.16451296859589</v>
      </c>
      <c r="P72" s="33">
        <f t="shared" si="80"/>
        <v>256.16451296859589</v>
      </c>
      <c r="Q72" s="33">
        <f t="shared" si="80"/>
        <v>256.16451296859589</v>
      </c>
      <c r="R72" s="33">
        <f t="shared" si="80"/>
        <v>256.16451296859589</v>
      </c>
      <c r="S72" s="33">
        <f t="shared" si="80"/>
        <v>256.16451296859589</v>
      </c>
      <c r="T72" s="33">
        <f t="shared" si="80"/>
        <v>256.16451296859589</v>
      </c>
      <c r="U72" s="33">
        <f t="shared" si="80"/>
        <v>256.16451296859589</v>
      </c>
      <c r="V72" s="33">
        <f t="shared" si="80"/>
        <v>256.16451296859589</v>
      </c>
      <c r="W72" s="33">
        <f t="shared" si="80"/>
        <v>256.16451296859589</v>
      </c>
      <c r="X72" s="33">
        <f t="shared" si="80"/>
        <v>256.16451296859589</v>
      </c>
      <c r="Y72" s="33">
        <f t="shared" si="80"/>
        <v>256.16451296859589</v>
      </c>
      <c r="Z72" s="33">
        <f t="shared" si="80"/>
        <v>256.16451296859589</v>
      </c>
      <c r="AA72" s="33">
        <f t="shared" si="80"/>
        <v>256.16451296859589</v>
      </c>
      <c r="AB72" s="33">
        <f t="shared" si="80"/>
        <v>256.16451296859589</v>
      </c>
      <c r="AC72" s="33">
        <f t="shared" si="80"/>
        <v>256.16451296859589</v>
      </c>
      <c r="AD72" s="33">
        <f t="shared" si="80"/>
        <v>256.16451296859589</v>
      </c>
      <c r="AE72" s="33">
        <f t="shared" si="80"/>
        <v>256.16451296859589</v>
      </c>
      <c r="AF72" s="33">
        <f t="shared" si="80"/>
        <v>256.16451296859589</v>
      </c>
      <c r="AG72" s="33">
        <f t="shared" si="80"/>
        <v>256.16451296859589</v>
      </c>
      <c r="AH72" s="33">
        <f t="shared" si="80"/>
        <v>256.16451296859589</v>
      </c>
      <c r="AI72" s="33">
        <f t="shared" si="80"/>
        <v>0</v>
      </c>
      <c r="AJ72" s="33">
        <f t="shared" si="80"/>
        <v>0</v>
      </c>
      <c r="AK72" s="33">
        <f t="shared" si="80"/>
        <v>0</v>
      </c>
      <c r="AL72" s="33">
        <f t="shared" si="80"/>
        <v>0</v>
      </c>
      <c r="AM72" s="33">
        <f t="shared" si="80"/>
        <v>0</v>
      </c>
      <c r="AN72" s="33">
        <f t="shared" si="80"/>
        <v>0</v>
      </c>
      <c r="AO72" s="36"/>
    </row>
    <row r="73" spans="1:41" ht="12" customHeight="1">
      <c r="A73" s="100" t="s">
        <v>81</v>
      </c>
      <c r="B73" s="36"/>
      <c r="C73" s="301">
        <f t="shared" si="77"/>
        <v>6126.6129563781997</v>
      </c>
      <c r="D73" s="609">
        <f t="shared" si="75"/>
        <v>4.2109616723224871E-2</v>
      </c>
      <c r="E73" s="33">
        <f t="shared" si="78"/>
        <v>73.687784698706821</v>
      </c>
      <c r="F73" s="33">
        <f t="shared" si="80"/>
        <v>157.90239578294319</v>
      </c>
      <c r="G73" s="33">
        <f t="shared" si="80"/>
        <v>210.53652771059092</v>
      </c>
      <c r="H73" s="33">
        <f t="shared" si="80"/>
        <v>210.53652771059092</v>
      </c>
      <c r="I73" s="33">
        <f t="shared" si="80"/>
        <v>210.53652771059092</v>
      </c>
      <c r="J73" s="33">
        <f t="shared" si="80"/>
        <v>210.53652771059092</v>
      </c>
      <c r="K73" s="33">
        <f t="shared" si="80"/>
        <v>210.53652771059092</v>
      </c>
      <c r="L73" s="33">
        <f t="shared" si="80"/>
        <v>210.53652771059092</v>
      </c>
      <c r="M73" s="33">
        <f t="shared" si="80"/>
        <v>210.53652771059092</v>
      </c>
      <c r="N73" s="33">
        <f t="shared" si="80"/>
        <v>210.53652771059092</v>
      </c>
      <c r="O73" s="33">
        <f t="shared" si="80"/>
        <v>210.53652771059092</v>
      </c>
      <c r="P73" s="33">
        <f t="shared" si="80"/>
        <v>210.53652771059092</v>
      </c>
      <c r="Q73" s="33">
        <f t="shared" si="80"/>
        <v>210.53652771059092</v>
      </c>
      <c r="R73" s="33">
        <f t="shared" si="80"/>
        <v>210.53652771059092</v>
      </c>
      <c r="S73" s="33">
        <f t="shared" si="80"/>
        <v>210.53652771059092</v>
      </c>
      <c r="T73" s="33">
        <f t="shared" si="80"/>
        <v>210.53652771059092</v>
      </c>
      <c r="U73" s="33">
        <f t="shared" si="80"/>
        <v>210.53652771059092</v>
      </c>
      <c r="V73" s="33">
        <f t="shared" si="80"/>
        <v>210.53652771059092</v>
      </c>
      <c r="W73" s="33">
        <f t="shared" si="80"/>
        <v>210.53652771059092</v>
      </c>
      <c r="X73" s="33">
        <f t="shared" si="80"/>
        <v>210.53652771059092</v>
      </c>
      <c r="Y73" s="33">
        <f t="shared" si="80"/>
        <v>210.53652771059092</v>
      </c>
      <c r="Z73" s="33">
        <f t="shared" si="80"/>
        <v>210.53652771059092</v>
      </c>
      <c r="AA73" s="33">
        <f t="shared" si="80"/>
        <v>210.53652771059092</v>
      </c>
      <c r="AB73" s="33">
        <f t="shared" si="80"/>
        <v>210.53652771059092</v>
      </c>
      <c r="AC73" s="33">
        <f t="shared" si="80"/>
        <v>210.53652771059092</v>
      </c>
      <c r="AD73" s="33">
        <f t="shared" si="80"/>
        <v>210.53652771059092</v>
      </c>
      <c r="AE73" s="33">
        <f t="shared" si="80"/>
        <v>210.53652771059092</v>
      </c>
      <c r="AF73" s="33">
        <f t="shared" si="80"/>
        <v>210.53652771059092</v>
      </c>
      <c r="AG73" s="33">
        <f t="shared" si="80"/>
        <v>210.53652771059092</v>
      </c>
      <c r="AH73" s="33">
        <f t="shared" si="80"/>
        <v>210.53652771059092</v>
      </c>
      <c r="AI73" s="33">
        <f t="shared" si="80"/>
        <v>0</v>
      </c>
      <c r="AJ73" s="33">
        <f t="shared" si="80"/>
        <v>0</v>
      </c>
      <c r="AK73" s="33">
        <f t="shared" si="80"/>
        <v>0</v>
      </c>
      <c r="AL73" s="33">
        <f t="shared" si="80"/>
        <v>0</v>
      </c>
      <c r="AM73" s="33">
        <f t="shared" si="80"/>
        <v>0</v>
      </c>
      <c r="AN73" s="33">
        <f t="shared" si="80"/>
        <v>0</v>
      </c>
      <c r="AO73" s="36"/>
    </row>
    <row r="74" spans="1:41" ht="12" customHeight="1">
      <c r="A74" s="100" t="s">
        <v>84</v>
      </c>
      <c r="B74" s="36"/>
      <c r="C74" s="301">
        <f t="shared" si="77"/>
        <v>23898.985601525335</v>
      </c>
      <c r="D74" s="609">
        <f t="shared" si="75"/>
        <v>0.16426321214014314</v>
      </c>
      <c r="E74" s="33">
        <f t="shared" si="78"/>
        <v>287.44484400460027</v>
      </c>
      <c r="F74" s="33">
        <f t="shared" si="80"/>
        <v>615.95323715271502</v>
      </c>
      <c r="G74" s="33">
        <f t="shared" si="80"/>
        <v>821.27098287028662</v>
      </c>
      <c r="H74" s="33">
        <f t="shared" si="80"/>
        <v>821.27098287028662</v>
      </c>
      <c r="I74" s="33">
        <f t="shared" si="80"/>
        <v>821.27098287028662</v>
      </c>
      <c r="J74" s="33">
        <f t="shared" si="80"/>
        <v>821.27098287028662</v>
      </c>
      <c r="K74" s="33">
        <f t="shared" si="80"/>
        <v>821.27098287028662</v>
      </c>
      <c r="L74" s="33">
        <f t="shared" si="80"/>
        <v>821.27098287028662</v>
      </c>
      <c r="M74" s="33">
        <f t="shared" si="80"/>
        <v>821.27098287028662</v>
      </c>
      <c r="N74" s="33">
        <f t="shared" si="80"/>
        <v>821.27098287028662</v>
      </c>
      <c r="O74" s="33">
        <f t="shared" si="80"/>
        <v>821.27098287028662</v>
      </c>
      <c r="P74" s="33">
        <f t="shared" si="80"/>
        <v>821.27098287028662</v>
      </c>
      <c r="Q74" s="33">
        <f t="shared" si="80"/>
        <v>821.27098287028662</v>
      </c>
      <c r="R74" s="33">
        <f t="shared" si="80"/>
        <v>821.27098287028662</v>
      </c>
      <c r="S74" s="33">
        <f t="shared" si="80"/>
        <v>821.27098287028662</v>
      </c>
      <c r="T74" s="33">
        <f t="shared" si="80"/>
        <v>821.27098287028662</v>
      </c>
      <c r="U74" s="33">
        <f t="shared" si="80"/>
        <v>821.27098287028662</v>
      </c>
      <c r="V74" s="33">
        <f t="shared" si="80"/>
        <v>821.27098287028662</v>
      </c>
      <c r="W74" s="33">
        <f t="shared" si="80"/>
        <v>821.27098287028662</v>
      </c>
      <c r="X74" s="33">
        <f t="shared" si="80"/>
        <v>821.27098287028662</v>
      </c>
      <c r="Y74" s="33">
        <f t="shared" si="80"/>
        <v>821.27098287028662</v>
      </c>
      <c r="Z74" s="33">
        <f t="shared" si="80"/>
        <v>821.27098287028662</v>
      </c>
      <c r="AA74" s="33">
        <f t="shared" si="80"/>
        <v>821.27098287028662</v>
      </c>
      <c r="AB74" s="33">
        <f t="shared" si="80"/>
        <v>821.27098287028662</v>
      </c>
      <c r="AC74" s="33">
        <f t="shared" si="80"/>
        <v>821.27098287028662</v>
      </c>
      <c r="AD74" s="33">
        <f t="shared" si="80"/>
        <v>821.27098287028662</v>
      </c>
      <c r="AE74" s="33">
        <f t="shared" si="80"/>
        <v>821.27098287028662</v>
      </c>
      <c r="AF74" s="33">
        <f t="shared" si="80"/>
        <v>821.27098287028662</v>
      </c>
      <c r="AG74" s="33">
        <f t="shared" si="80"/>
        <v>821.27098287028662</v>
      </c>
      <c r="AH74" s="33">
        <f t="shared" si="80"/>
        <v>821.27098287028662</v>
      </c>
      <c r="AI74" s="33">
        <f t="shared" si="80"/>
        <v>0</v>
      </c>
      <c r="AJ74" s="33">
        <f t="shared" si="80"/>
        <v>0</v>
      </c>
      <c r="AK74" s="33">
        <f t="shared" si="80"/>
        <v>0</v>
      </c>
      <c r="AL74" s="33">
        <f t="shared" si="80"/>
        <v>0</v>
      </c>
      <c r="AM74" s="33">
        <f t="shared" si="80"/>
        <v>0</v>
      </c>
      <c r="AN74" s="33">
        <f t="shared" si="80"/>
        <v>0</v>
      </c>
      <c r="AO74" s="36"/>
    </row>
    <row r="75" spans="1:41" ht="12" customHeight="1">
      <c r="A75" s="36"/>
      <c r="B75" s="36"/>
      <c r="C75" s="36"/>
      <c r="D75" s="609"/>
      <c r="E75" s="33">
        <f t="shared" ref="E75" si="81">E27*0.7</f>
        <v>0</v>
      </c>
      <c r="F75" s="33">
        <f t="shared" ref="F75:AM75" si="82">F27*0.7</f>
        <v>0</v>
      </c>
      <c r="G75" s="33">
        <f t="shared" si="82"/>
        <v>0</v>
      </c>
      <c r="H75" s="33">
        <f t="shared" si="82"/>
        <v>0</v>
      </c>
      <c r="I75" s="33">
        <f t="shared" si="82"/>
        <v>0</v>
      </c>
      <c r="J75" s="33">
        <f t="shared" si="82"/>
        <v>0</v>
      </c>
      <c r="K75" s="33">
        <f t="shared" si="82"/>
        <v>0</v>
      </c>
      <c r="L75" s="33">
        <f t="shared" si="82"/>
        <v>0</v>
      </c>
      <c r="M75" s="33">
        <f t="shared" si="82"/>
        <v>0</v>
      </c>
      <c r="N75" s="33">
        <f t="shared" si="82"/>
        <v>0</v>
      </c>
      <c r="O75" s="33">
        <f t="shared" si="82"/>
        <v>0</v>
      </c>
      <c r="P75" s="33">
        <f t="shared" si="82"/>
        <v>0</v>
      </c>
      <c r="Q75" s="33">
        <f t="shared" si="82"/>
        <v>0</v>
      </c>
      <c r="R75" s="33">
        <f t="shared" si="82"/>
        <v>0</v>
      </c>
      <c r="S75" s="33">
        <f t="shared" si="82"/>
        <v>0</v>
      </c>
      <c r="T75" s="33">
        <f t="shared" si="82"/>
        <v>0</v>
      </c>
      <c r="U75" s="33">
        <f t="shared" si="82"/>
        <v>0</v>
      </c>
      <c r="V75" s="33">
        <f t="shared" si="82"/>
        <v>0</v>
      </c>
      <c r="W75" s="33">
        <f t="shared" si="82"/>
        <v>0</v>
      </c>
      <c r="X75" s="33">
        <f t="shared" si="82"/>
        <v>0</v>
      </c>
      <c r="Y75" s="33">
        <f t="shared" si="82"/>
        <v>0</v>
      </c>
      <c r="Z75" s="33">
        <f t="shared" si="82"/>
        <v>0</v>
      </c>
      <c r="AA75" s="33">
        <f t="shared" si="82"/>
        <v>0</v>
      </c>
      <c r="AB75" s="33">
        <f t="shared" si="82"/>
        <v>0</v>
      </c>
      <c r="AC75" s="33">
        <f t="shared" si="82"/>
        <v>0</v>
      </c>
      <c r="AD75" s="33">
        <f t="shared" si="82"/>
        <v>0</v>
      </c>
      <c r="AE75" s="33">
        <f t="shared" si="82"/>
        <v>0</v>
      </c>
      <c r="AF75" s="33">
        <f t="shared" si="82"/>
        <v>0</v>
      </c>
      <c r="AG75" s="33">
        <f t="shared" si="82"/>
        <v>0</v>
      </c>
      <c r="AH75" s="33">
        <f t="shared" si="82"/>
        <v>0</v>
      </c>
      <c r="AI75" s="33">
        <f t="shared" si="82"/>
        <v>0</v>
      </c>
      <c r="AJ75" s="33">
        <f t="shared" si="82"/>
        <v>0</v>
      </c>
      <c r="AK75" s="33">
        <f t="shared" si="82"/>
        <v>0</v>
      </c>
      <c r="AL75" s="33">
        <f t="shared" si="82"/>
        <v>0</v>
      </c>
      <c r="AM75" s="33">
        <f t="shared" si="82"/>
        <v>0</v>
      </c>
      <c r="AN75" s="33" t="e">
        <f>AN27*Painel!#REF!</f>
        <v>#REF!</v>
      </c>
      <c r="AO75" s="36"/>
    </row>
    <row r="76" spans="1:41" ht="12" customHeight="1">
      <c r="A76" s="617" t="s">
        <v>349</v>
      </c>
      <c r="B76" s="624"/>
      <c r="C76" s="625">
        <f>SUM(E76:AH76)</f>
        <v>145492.01425049224</v>
      </c>
      <c r="D76" s="611">
        <f>C76/$C$76</f>
        <v>1</v>
      </c>
      <c r="E76" s="66">
        <f>SUM(E57:E74)</f>
        <v>1749.9039514664018</v>
      </c>
      <c r="F76" s="66">
        <f t="shared" ref="F76:AN76" si="83">SUM(F57:F74)</f>
        <v>3749.7941817137189</v>
      </c>
      <c r="G76" s="66">
        <f t="shared" si="83"/>
        <v>4999.7255756182913</v>
      </c>
      <c r="H76" s="66">
        <f t="shared" si="83"/>
        <v>4999.7255756182913</v>
      </c>
      <c r="I76" s="66">
        <f t="shared" si="83"/>
        <v>4999.7255756182913</v>
      </c>
      <c r="J76" s="66">
        <f t="shared" si="83"/>
        <v>4999.7255756182913</v>
      </c>
      <c r="K76" s="66">
        <f t="shared" si="83"/>
        <v>4999.7255756182913</v>
      </c>
      <c r="L76" s="66">
        <f t="shared" si="83"/>
        <v>4999.7255756182913</v>
      </c>
      <c r="M76" s="66">
        <f t="shared" si="83"/>
        <v>4999.7255756182913</v>
      </c>
      <c r="N76" s="66">
        <f t="shared" si="83"/>
        <v>4999.7255756182913</v>
      </c>
      <c r="O76" s="66">
        <f t="shared" si="83"/>
        <v>4999.7255756182913</v>
      </c>
      <c r="P76" s="66">
        <f t="shared" si="83"/>
        <v>4999.7255756182913</v>
      </c>
      <c r="Q76" s="66">
        <f t="shared" si="83"/>
        <v>4999.7255756182913</v>
      </c>
      <c r="R76" s="66">
        <f t="shared" si="83"/>
        <v>4999.7255756182913</v>
      </c>
      <c r="S76" s="66">
        <f t="shared" si="83"/>
        <v>4999.7255756182913</v>
      </c>
      <c r="T76" s="66">
        <f t="shared" si="83"/>
        <v>4999.7255756182913</v>
      </c>
      <c r="U76" s="66">
        <f t="shared" si="83"/>
        <v>4999.7255756182913</v>
      </c>
      <c r="V76" s="66">
        <f t="shared" si="83"/>
        <v>4999.7255756182913</v>
      </c>
      <c r="W76" s="66">
        <f t="shared" si="83"/>
        <v>4999.7255756182913</v>
      </c>
      <c r="X76" s="66">
        <f t="shared" si="83"/>
        <v>4999.7255756182913</v>
      </c>
      <c r="Y76" s="66">
        <f t="shared" si="83"/>
        <v>4999.7255756182913</v>
      </c>
      <c r="Z76" s="66">
        <f t="shared" si="83"/>
        <v>4999.7255756182913</v>
      </c>
      <c r="AA76" s="66">
        <f t="shared" si="83"/>
        <v>4999.7255756182913</v>
      </c>
      <c r="AB76" s="66">
        <f t="shared" si="83"/>
        <v>4999.7255756182913</v>
      </c>
      <c r="AC76" s="66">
        <f t="shared" si="83"/>
        <v>4999.7255756182913</v>
      </c>
      <c r="AD76" s="66">
        <f t="shared" si="83"/>
        <v>4999.7255756182913</v>
      </c>
      <c r="AE76" s="66">
        <f t="shared" si="83"/>
        <v>4999.7255756182913</v>
      </c>
      <c r="AF76" s="66">
        <f t="shared" si="83"/>
        <v>4999.7255756182913</v>
      </c>
      <c r="AG76" s="66">
        <f t="shared" si="83"/>
        <v>4999.7255756182913</v>
      </c>
      <c r="AH76" s="66">
        <f t="shared" si="83"/>
        <v>4999.7255756182913</v>
      </c>
      <c r="AI76" s="66">
        <f t="shared" si="83"/>
        <v>0</v>
      </c>
      <c r="AJ76" s="66">
        <f t="shared" si="83"/>
        <v>0</v>
      </c>
      <c r="AK76" s="66">
        <f t="shared" si="83"/>
        <v>0</v>
      </c>
      <c r="AL76" s="66">
        <f t="shared" si="83"/>
        <v>0</v>
      </c>
      <c r="AM76" s="66">
        <f t="shared" si="83"/>
        <v>0</v>
      </c>
      <c r="AN76" s="66">
        <f t="shared" si="83"/>
        <v>0</v>
      </c>
      <c r="AO76" s="36"/>
    </row>
    <row r="77" spans="1:41" ht="19.899999999999999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215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</row>
    <row r="78" spans="1:41" ht="19.899999999999999" customHeight="1">
      <c r="A78" s="287" t="s">
        <v>309</v>
      </c>
      <c r="B78" s="287" t="s">
        <v>352</v>
      </c>
      <c r="C78" s="288" t="s">
        <v>353</v>
      </c>
      <c r="D78" s="288" t="s">
        <v>354</v>
      </c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</row>
    <row r="79" spans="1:41" ht="19.899999999999999" customHeight="1">
      <c r="A79" s="289">
        <v>1</v>
      </c>
      <c r="B79" s="290" t="s">
        <v>355</v>
      </c>
      <c r="C79" s="291">
        <v>0</v>
      </c>
      <c r="D79" s="291">
        <v>0</v>
      </c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</row>
    <row r="80" spans="1:41" ht="19.899999999999999" customHeight="1">
      <c r="A80" s="292"/>
      <c r="B80" s="293" t="s">
        <v>356</v>
      </c>
      <c r="C80" s="294">
        <v>0</v>
      </c>
      <c r="D80" s="294">
        <v>0</v>
      </c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</row>
    <row r="81" spans="1:4" ht="19.899999999999999" customHeight="1">
      <c r="A81" s="292"/>
      <c r="B81" s="293" t="s">
        <v>357</v>
      </c>
      <c r="C81" s="294">
        <v>0</v>
      </c>
      <c r="D81" s="294">
        <v>0</v>
      </c>
    </row>
    <row r="82" spans="1:4" ht="19.899999999999999" customHeight="1">
      <c r="A82" s="292"/>
      <c r="B82" s="293" t="s">
        <v>358</v>
      </c>
      <c r="C82" s="294">
        <v>0</v>
      </c>
      <c r="D82" s="294">
        <v>0</v>
      </c>
    </row>
    <row r="83" spans="1:4" ht="19.899999999999999" customHeight="1">
      <c r="A83" s="289">
        <v>2</v>
      </c>
      <c r="B83" s="290" t="s">
        <v>359</v>
      </c>
      <c r="C83" s="291">
        <v>27184.516053573268</v>
      </c>
      <c r="D83" s="291">
        <v>326214.19264287921</v>
      </c>
    </row>
    <row r="84" spans="1:4" ht="19.899999999999999" customHeight="1">
      <c r="A84" s="292"/>
      <c r="B84" s="293" t="s">
        <v>356</v>
      </c>
      <c r="C84" s="294">
        <v>24784.516053573268</v>
      </c>
      <c r="D84" s="294">
        <v>297414.19264287921</v>
      </c>
    </row>
    <row r="85" spans="1:4" ht="19.899999999999999" customHeight="1">
      <c r="A85" s="292"/>
      <c r="B85" s="293" t="s">
        <v>357</v>
      </c>
      <c r="C85" s="294">
        <v>2400</v>
      </c>
      <c r="D85" s="294">
        <v>28800</v>
      </c>
    </row>
    <row r="86" spans="1:4" ht="19.899999999999999" customHeight="1">
      <c r="A86" s="292"/>
      <c r="B86" s="293" t="s">
        <v>358</v>
      </c>
      <c r="C86" s="294">
        <v>0</v>
      </c>
      <c r="D86" s="294">
        <v>0</v>
      </c>
    </row>
    <row r="87" spans="1:4" ht="19.899999999999999" customHeight="1">
      <c r="A87" s="289">
        <v>3</v>
      </c>
      <c r="B87" s="290" t="s">
        <v>360</v>
      </c>
      <c r="C87" s="291">
        <v>11652.075265063519</v>
      </c>
      <c r="D87" s="291">
        <v>139824.90318076222</v>
      </c>
    </row>
    <row r="88" spans="1:4" ht="19.899999999999999" customHeight="1">
      <c r="A88" s="292"/>
      <c r="B88" s="293" t="s">
        <v>356</v>
      </c>
      <c r="C88" s="294">
        <v>9007.3863405295997</v>
      </c>
      <c r="D88" s="294">
        <v>108088.6360863552</v>
      </c>
    </row>
    <row r="89" spans="1:4" ht="19.899999999999999" customHeight="1">
      <c r="A89" s="292"/>
      <c r="B89" s="293" t="s">
        <v>357</v>
      </c>
      <c r="C89" s="294">
        <v>2644.6889245339194</v>
      </c>
      <c r="D89" s="294">
        <v>31736.267094407034</v>
      </c>
    </row>
    <row r="90" spans="1:4" ht="19.899999999999999" customHeight="1">
      <c r="A90" s="292"/>
      <c r="B90" s="293" t="s">
        <v>358</v>
      </c>
      <c r="C90" s="294">
        <v>0</v>
      </c>
      <c r="D90" s="294">
        <v>0</v>
      </c>
    </row>
    <row r="91" spans="1:4" ht="19.899999999999999" customHeight="1">
      <c r="A91" s="289">
        <v>4</v>
      </c>
      <c r="B91" s="290" t="s">
        <v>361</v>
      </c>
      <c r="C91" s="291">
        <v>5703.6931702647998</v>
      </c>
      <c r="D91" s="291">
        <v>68444.318043177598</v>
      </c>
    </row>
    <row r="92" spans="1:4" ht="19.899999999999999" customHeight="1">
      <c r="A92" s="292"/>
      <c r="B92" s="293" t="s">
        <v>356</v>
      </c>
      <c r="C92" s="294">
        <v>4503.6931702647998</v>
      </c>
      <c r="D92" s="294">
        <v>54044.318043177598</v>
      </c>
    </row>
    <row r="93" spans="1:4" ht="19.899999999999999" customHeight="1">
      <c r="A93" s="292"/>
      <c r="B93" s="293" t="s">
        <v>357</v>
      </c>
      <c r="C93" s="294">
        <v>1200</v>
      </c>
      <c r="D93" s="294">
        <v>14400</v>
      </c>
    </row>
    <row r="94" spans="1:4" ht="19.899999999999999" customHeight="1">
      <c r="A94" s="292"/>
      <c r="B94" s="293" t="s">
        <v>358</v>
      </c>
      <c r="C94" s="294">
        <v>0</v>
      </c>
      <c r="D94" s="294">
        <v>0</v>
      </c>
    </row>
    <row r="95" spans="1:4" ht="19.899999999999999" customHeight="1">
      <c r="A95" s="289">
        <v>5</v>
      </c>
      <c r="B95" s="290" t="s">
        <v>362</v>
      </c>
      <c r="C95" s="291">
        <v>23262.072883308469</v>
      </c>
      <c r="D95" s="291">
        <v>279144.87459970161</v>
      </c>
    </row>
    <row r="96" spans="1:4" ht="19.899999999999999" customHeight="1">
      <c r="A96" s="292"/>
      <c r="B96" s="293" t="s">
        <v>356</v>
      </c>
      <c r="C96" s="294">
        <v>20280.822883308469</v>
      </c>
      <c r="D96" s="294">
        <v>243369.87459970161</v>
      </c>
    </row>
    <row r="97" spans="1:4" ht="19.899999999999999" customHeight="1">
      <c r="A97" s="292"/>
      <c r="B97" s="293" t="s">
        <v>357</v>
      </c>
      <c r="C97" s="294">
        <v>808.33333333333348</v>
      </c>
      <c r="D97" s="294">
        <v>9700.0000000000018</v>
      </c>
    </row>
    <row r="98" spans="1:4" ht="19.899999999999999" customHeight="1">
      <c r="A98" s="292"/>
      <c r="B98" s="293" t="s">
        <v>358</v>
      </c>
      <c r="C98" s="294">
        <v>2172.916666666667</v>
      </c>
      <c r="D98" s="294">
        <v>26075.000000000004</v>
      </c>
    </row>
    <row r="99" spans="1:4" ht="19.899999999999999" customHeight="1">
      <c r="A99" s="289">
        <v>6</v>
      </c>
      <c r="B99" s="290" t="s">
        <v>363</v>
      </c>
      <c r="C99" s="291">
        <v>14020.548588872312</v>
      </c>
      <c r="D99" s="291">
        <v>168246.58306646775</v>
      </c>
    </row>
    <row r="100" spans="1:4" ht="19.899999999999999" customHeight="1">
      <c r="A100" s="292"/>
      <c r="B100" s="293" t="s">
        <v>356</v>
      </c>
      <c r="C100" s="294">
        <v>13520.548588872312</v>
      </c>
      <c r="D100" s="294">
        <v>162246.58306646775</v>
      </c>
    </row>
    <row r="101" spans="1:4" ht="19.899999999999999" customHeight="1">
      <c r="A101" s="292"/>
      <c r="B101" s="293" t="s">
        <v>357</v>
      </c>
      <c r="C101" s="294">
        <v>500</v>
      </c>
      <c r="D101" s="294">
        <v>6000</v>
      </c>
    </row>
    <row r="102" spans="1:4" ht="19.899999999999999" customHeight="1">
      <c r="A102" s="292"/>
      <c r="B102" s="293" t="s">
        <v>358</v>
      </c>
      <c r="C102" s="294">
        <v>0</v>
      </c>
      <c r="D102" s="294">
        <v>0</v>
      </c>
    </row>
    <row r="103" spans="1:4" ht="19.899999999999999" customHeight="1">
      <c r="A103" s="289">
        <v>7</v>
      </c>
      <c r="B103" s="290" t="s">
        <v>364</v>
      </c>
      <c r="C103" s="291">
        <v>0</v>
      </c>
      <c r="D103" s="291">
        <v>0</v>
      </c>
    </row>
    <row r="104" spans="1:4" ht="19.899999999999999" customHeight="1">
      <c r="A104" s="292"/>
      <c r="B104" s="293" t="s">
        <v>356</v>
      </c>
      <c r="C104" s="294">
        <v>0</v>
      </c>
      <c r="D104" s="294">
        <v>0</v>
      </c>
    </row>
    <row r="105" spans="1:4" ht="19.899999999999999" customHeight="1">
      <c r="A105" s="292"/>
      <c r="B105" s="293" t="s">
        <v>357</v>
      </c>
      <c r="C105" s="294">
        <v>0</v>
      </c>
      <c r="D105" s="294">
        <v>0</v>
      </c>
    </row>
    <row r="106" spans="1:4" ht="19.899999999999999" customHeight="1">
      <c r="A106" s="292"/>
      <c r="B106" s="293" t="s">
        <v>358</v>
      </c>
      <c r="C106" s="294">
        <v>0</v>
      </c>
      <c r="D106" s="294">
        <v>0</v>
      </c>
    </row>
    <row r="107" spans="1:4" ht="19.899999999999999" customHeight="1">
      <c r="A107" s="289">
        <v>8</v>
      </c>
      <c r="B107" s="290" t="s">
        <v>365</v>
      </c>
      <c r="C107" s="291">
        <v>16143.275154703209</v>
      </c>
      <c r="D107" s="291">
        <v>193719.30185643851</v>
      </c>
    </row>
    <row r="108" spans="1:4" ht="19.899999999999999" customHeight="1">
      <c r="A108" s="292"/>
      <c r="B108" s="293" t="s">
        <v>356</v>
      </c>
      <c r="C108" s="294">
        <v>16143.275154703209</v>
      </c>
      <c r="D108" s="294">
        <v>193719.30185643851</v>
      </c>
    </row>
    <row r="109" spans="1:4" ht="19.899999999999999" customHeight="1">
      <c r="A109" s="292"/>
      <c r="B109" s="293" t="s">
        <v>357</v>
      </c>
      <c r="C109" s="294">
        <v>0</v>
      </c>
      <c r="D109" s="294">
        <v>0</v>
      </c>
    </row>
    <row r="110" spans="1:4" ht="19.899999999999999" customHeight="1">
      <c r="A110" s="292"/>
      <c r="B110" s="293" t="s">
        <v>358</v>
      </c>
      <c r="C110" s="294">
        <v>0</v>
      </c>
      <c r="D110" s="294">
        <v>0</v>
      </c>
    </row>
    <row r="111" spans="1:4" ht="19.899999999999999" customHeight="1">
      <c r="A111" s="289">
        <v>9</v>
      </c>
      <c r="B111" s="290" t="s">
        <v>366</v>
      </c>
      <c r="C111" s="291">
        <v>8090.4617885000007</v>
      </c>
      <c r="D111" s="291">
        <v>97085.541462000008</v>
      </c>
    </row>
    <row r="112" spans="1:4" ht="19.899999999999999" customHeight="1">
      <c r="A112" s="292"/>
      <c r="B112" s="293" t="s">
        <v>356</v>
      </c>
      <c r="C112" s="294">
        <v>8090.4617885000007</v>
      </c>
      <c r="D112" s="294">
        <v>97085.541462000008</v>
      </c>
    </row>
    <row r="113" spans="1:4" ht="19.899999999999999" customHeight="1">
      <c r="A113" s="292"/>
      <c r="B113" s="293" t="s">
        <v>357</v>
      </c>
      <c r="C113" s="294">
        <v>0</v>
      </c>
      <c r="D113" s="294">
        <v>0</v>
      </c>
    </row>
    <row r="114" spans="1:4" ht="19.899999999999999" customHeight="1">
      <c r="A114" s="292"/>
      <c r="B114" s="293" t="s">
        <v>358</v>
      </c>
      <c r="C114" s="294">
        <v>0</v>
      </c>
      <c r="D114" s="294">
        <v>0</v>
      </c>
    </row>
    <row r="115" spans="1:4" ht="19.899999999999999" customHeight="1">
      <c r="A115" s="289">
        <v>10</v>
      </c>
      <c r="B115" s="290" t="s">
        <v>367</v>
      </c>
      <c r="C115" s="291">
        <v>3575.7241924760001</v>
      </c>
      <c r="D115" s="291">
        <v>42908.690309712001</v>
      </c>
    </row>
    <row r="116" spans="1:4" ht="19.899999999999999" customHeight="1">
      <c r="A116" s="292"/>
      <c r="B116" s="293" t="s">
        <v>356</v>
      </c>
      <c r="C116" s="294">
        <v>3575.7241924760001</v>
      </c>
      <c r="D116" s="294">
        <v>42908.690309712001</v>
      </c>
    </row>
    <row r="117" spans="1:4" ht="19.899999999999999" customHeight="1">
      <c r="A117" s="292"/>
      <c r="B117" s="293" t="s">
        <v>357</v>
      </c>
      <c r="C117" s="294">
        <v>0</v>
      </c>
      <c r="D117" s="294">
        <v>0</v>
      </c>
    </row>
    <row r="118" spans="1:4" ht="19.899999999999999" customHeight="1">
      <c r="A118" s="292"/>
      <c r="B118" s="293" t="s">
        <v>358</v>
      </c>
      <c r="C118" s="294">
        <v>0</v>
      </c>
      <c r="D118" s="294">
        <v>0</v>
      </c>
    </row>
    <row r="119" spans="1:4" ht="19.899999999999999" customHeight="1">
      <c r="A119" s="289">
        <v>11</v>
      </c>
      <c r="B119" s="290" t="s">
        <v>368</v>
      </c>
      <c r="C119" s="291">
        <f>SUM(C120:C122)</f>
        <v>5704.6562049207632</v>
      </c>
      <c r="D119" s="291">
        <f>SUM(D120:D122)</f>
        <v>68455.874459049155</v>
      </c>
    </row>
    <row r="120" spans="1:4" ht="19.899999999999999" customHeight="1">
      <c r="A120" s="292"/>
      <c r="B120" s="293" t="s">
        <v>356</v>
      </c>
      <c r="C120" s="294">
        <v>0</v>
      </c>
      <c r="D120" s="294">
        <v>0</v>
      </c>
    </row>
    <row r="121" spans="1:4" ht="19.899999999999999" customHeight="1">
      <c r="A121" s="292"/>
      <c r="B121" s="293" t="s">
        <v>357</v>
      </c>
      <c r="C121" s="294">
        <v>0</v>
      </c>
      <c r="D121" s="294">
        <v>0</v>
      </c>
    </row>
    <row r="122" spans="1:4" ht="19.899999999999999" customHeight="1">
      <c r="A122" s="292"/>
      <c r="B122" s="293" t="s">
        <v>358</v>
      </c>
      <c r="C122" s="294">
        <f>'Opex - Gestão de resíduos'!J7</f>
        <v>5704.6562049207632</v>
      </c>
      <c r="D122" s="294">
        <f>'Opex - Gestão de resíduos'!I7</f>
        <v>68455.874459049155</v>
      </c>
    </row>
    <row r="123" spans="1:4" ht="19.899999999999999" customHeight="1">
      <c r="A123" s="289">
        <v>12</v>
      </c>
      <c r="B123" s="290" t="s">
        <v>369</v>
      </c>
      <c r="C123" s="291">
        <v>13511.0795107944</v>
      </c>
      <c r="D123" s="291">
        <v>162132.95412953279</v>
      </c>
    </row>
    <row r="124" spans="1:4" ht="19.899999999999999" customHeight="1">
      <c r="A124" s="292"/>
      <c r="B124" s="293" t="s">
        <v>356</v>
      </c>
      <c r="C124" s="294">
        <v>13511.0795107944</v>
      </c>
      <c r="D124" s="294">
        <v>162132.95412953279</v>
      </c>
    </row>
    <row r="125" spans="1:4" ht="19.899999999999999" customHeight="1">
      <c r="A125" s="292"/>
      <c r="B125" s="293" t="s">
        <v>357</v>
      </c>
      <c r="C125" s="294">
        <v>0</v>
      </c>
      <c r="D125" s="294">
        <v>0</v>
      </c>
    </row>
    <row r="126" spans="1:4" ht="19.899999999999999" customHeight="1">
      <c r="A126" s="292"/>
      <c r="B126" s="293" t="s">
        <v>358</v>
      </c>
      <c r="C126" s="294">
        <v>0</v>
      </c>
      <c r="D126" s="294">
        <v>0</v>
      </c>
    </row>
    <row r="127" spans="1:4" ht="19.899999999999999" customHeight="1">
      <c r="A127" s="289">
        <v>13</v>
      </c>
      <c r="B127" s="290" t="s">
        <v>63</v>
      </c>
      <c r="C127" s="291">
        <v>127289.43521624929</v>
      </c>
      <c r="D127" s="291">
        <v>1527473.2225949916</v>
      </c>
    </row>
    <row r="128" spans="1:4" ht="19.899999999999999" customHeight="1">
      <c r="A128" s="292"/>
      <c r="B128" s="293" t="s">
        <v>356</v>
      </c>
      <c r="C128" s="294">
        <v>17168.438703352804</v>
      </c>
      <c r="D128" s="294">
        <v>206021.26444023364</v>
      </c>
    </row>
    <row r="129" spans="1:4" ht="19.899999999999999" customHeight="1">
      <c r="A129" s="292"/>
      <c r="B129" s="293" t="s">
        <v>357</v>
      </c>
      <c r="C129" s="294">
        <v>8569.452512896496</v>
      </c>
      <c r="D129" s="294">
        <v>102833.43015475795</v>
      </c>
    </row>
    <row r="130" spans="1:4" ht="19.899999999999999" customHeight="1">
      <c r="A130" s="292"/>
      <c r="B130" s="293" t="s">
        <v>358</v>
      </c>
      <c r="C130" s="294">
        <v>101551.54399999999</v>
      </c>
      <c r="D130" s="294">
        <v>1218618.5279999999</v>
      </c>
    </row>
    <row r="131" spans="1:4" ht="19.899999999999999" customHeight="1">
      <c r="A131" s="289">
        <v>6</v>
      </c>
      <c r="B131" s="290" t="s">
        <v>65</v>
      </c>
      <c r="C131" s="291">
        <v>7161.8916666666664</v>
      </c>
      <c r="D131" s="291">
        <v>85942.7</v>
      </c>
    </row>
    <row r="132" spans="1:4" ht="19.899999999999999" customHeight="1">
      <c r="A132" s="292"/>
      <c r="B132" s="293" t="s">
        <v>370</v>
      </c>
      <c r="C132" s="294">
        <v>7161.8916666666664</v>
      </c>
      <c r="D132" s="294">
        <v>85942.7</v>
      </c>
    </row>
    <row r="133" spans="1:4" ht="19.899999999999999" customHeight="1">
      <c r="A133" s="289">
        <v>7</v>
      </c>
      <c r="B133" s="290" t="s">
        <v>371</v>
      </c>
      <c r="C133" s="291">
        <v>83850.295222655579</v>
      </c>
      <c r="D133" s="291">
        <v>1006203.5426718669</v>
      </c>
    </row>
    <row r="134" spans="1:4" ht="19.899999999999999" customHeight="1">
      <c r="A134" s="292"/>
      <c r="B134" s="293" t="s">
        <v>356</v>
      </c>
      <c r="C134" s="294">
        <v>50140.271432137655</v>
      </c>
      <c r="D134" s="294">
        <v>601683.25718565192</v>
      </c>
    </row>
    <row r="135" spans="1:4" ht="19.899999999999999" customHeight="1">
      <c r="A135" s="292"/>
      <c r="B135" s="293" t="s">
        <v>357</v>
      </c>
      <c r="C135" s="294">
        <v>5522.0237905179201</v>
      </c>
      <c r="D135" s="294">
        <v>66264.285486215042</v>
      </c>
    </row>
    <row r="136" spans="1:4" ht="19.899999999999999" customHeight="1">
      <c r="A136" s="292"/>
      <c r="B136" s="293" t="s">
        <v>358</v>
      </c>
      <c r="C136" s="294">
        <v>28188</v>
      </c>
      <c r="D136" s="294">
        <v>338256</v>
      </c>
    </row>
    <row r="137" spans="1:4" ht="19.899999999999999" customHeight="1">
      <c r="A137" s="289">
        <v>8</v>
      </c>
      <c r="B137" s="290" t="s">
        <v>73</v>
      </c>
      <c r="C137" s="291">
        <v>39491.270089120299</v>
      </c>
      <c r="D137" s="291">
        <v>473895.24106944364</v>
      </c>
    </row>
    <row r="138" spans="1:4" ht="19.899999999999999" customHeight="1">
      <c r="A138" s="292"/>
      <c r="B138" s="293" t="s">
        <v>356</v>
      </c>
      <c r="C138" s="294">
        <v>32311.131145622949</v>
      </c>
      <c r="D138" s="294">
        <v>387733.5737474754</v>
      </c>
    </row>
    <row r="139" spans="1:4" ht="19.899999999999999" customHeight="1">
      <c r="A139" s="292"/>
      <c r="B139" s="293" t="s">
        <v>357</v>
      </c>
      <c r="C139" s="294">
        <v>7004.4546704177719</v>
      </c>
      <c r="D139" s="294">
        <v>84053.45604501327</v>
      </c>
    </row>
    <row r="140" spans="1:4" ht="19.899999999999999" customHeight="1">
      <c r="A140" s="292"/>
      <c r="B140" s="293" t="s">
        <v>358</v>
      </c>
      <c r="C140" s="294">
        <v>175.68427307957933</v>
      </c>
      <c r="D140" s="294">
        <v>2108.2112769549522</v>
      </c>
    </row>
    <row r="141" spans="1:4" ht="19.899999999999999" customHeight="1">
      <c r="A141" s="289">
        <v>9</v>
      </c>
      <c r="B141" s="290" t="s">
        <v>77</v>
      </c>
      <c r="C141" s="291">
        <v>26683.803434228743</v>
      </c>
      <c r="D141" s="291">
        <v>320205.64121074486</v>
      </c>
    </row>
    <row r="142" spans="1:4" ht="19.899999999999999" customHeight="1">
      <c r="A142" s="292"/>
      <c r="B142" s="293" t="s">
        <v>356</v>
      </c>
      <c r="C142" s="294">
        <v>19540.462335228742</v>
      </c>
      <c r="D142" s="294">
        <v>234485.54802274489</v>
      </c>
    </row>
    <row r="143" spans="1:4" ht="19.899999999999999" customHeight="1">
      <c r="A143" s="292"/>
      <c r="B143" s="293" t="s">
        <v>357</v>
      </c>
      <c r="C143" s="294">
        <v>0</v>
      </c>
      <c r="D143" s="294">
        <v>0</v>
      </c>
    </row>
    <row r="144" spans="1:4" ht="19.899999999999999" customHeight="1">
      <c r="A144" s="292"/>
      <c r="B144" s="293" t="s">
        <v>358</v>
      </c>
      <c r="C144" s="294">
        <v>7143.3410990000002</v>
      </c>
      <c r="D144" s="294">
        <v>85720.093187999999</v>
      </c>
    </row>
    <row r="145" spans="1:4" ht="19.899999999999999" customHeight="1">
      <c r="A145" s="289">
        <v>10</v>
      </c>
      <c r="B145" s="290" t="s">
        <v>372</v>
      </c>
      <c r="C145" s="291">
        <v>21930.888303186555</v>
      </c>
      <c r="D145" s="291">
        <v>263170.65963823866</v>
      </c>
    </row>
    <row r="146" spans="1:4" ht="19.899999999999999" customHeight="1">
      <c r="A146" s="292"/>
      <c r="B146" s="293" t="s">
        <v>356</v>
      </c>
      <c r="C146" s="294">
        <v>19375.688303186555</v>
      </c>
      <c r="D146" s="294">
        <v>232508.25963823864</v>
      </c>
    </row>
    <row r="147" spans="1:4" ht="19.899999999999999" customHeight="1">
      <c r="A147" s="292"/>
      <c r="B147" s="293" t="s">
        <v>357</v>
      </c>
      <c r="C147" s="294">
        <v>2555.1999999999998</v>
      </c>
      <c r="D147" s="294">
        <v>30662.399999999998</v>
      </c>
    </row>
    <row r="148" spans="1:4" ht="19.899999999999999" customHeight="1">
      <c r="A148" s="292"/>
      <c r="B148" s="293" t="s">
        <v>358</v>
      </c>
      <c r="C148" s="294">
        <v>0</v>
      </c>
      <c r="D148" s="294">
        <v>0</v>
      </c>
    </row>
    <row r="149" spans="1:4" ht="19.899999999999999" customHeight="1">
      <c r="A149" s="289">
        <v>11</v>
      </c>
      <c r="B149" s="290" t="s">
        <v>84</v>
      </c>
      <c r="C149" s="291">
        <v>85549.06071565485</v>
      </c>
      <c r="D149" s="291">
        <v>1026588.7285878581</v>
      </c>
    </row>
    <row r="150" spans="1:4" ht="19.899999999999999" customHeight="1">
      <c r="A150" s="292"/>
      <c r="B150" s="293" t="s">
        <v>356</v>
      </c>
      <c r="C150" s="294">
        <v>85549.06071565485</v>
      </c>
      <c r="D150" s="294">
        <v>1026588.7285878581</v>
      </c>
    </row>
    <row r="151" spans="1:4" ht="19.899999999999999" customHeight="1">
      <c r="A151" s="292"/>
      <c r="B151" s="293" t="s">
        <v>357</v>
      </c>
      <c r="C151" s="294">
        <v>0</v>
      </c>
      <c r="D151" s="294">
        <v>0</v>
      </c>
    </row>
    <row r="152" spans="1:4" ht="19.899999999999999" customHeight="1">
      <c r="A152" s="292"/>
      <c r="B152" s="293" t="s">
        <v>358</v>
      </c>
      <c r="C152" s="294">
        <v>0</v>
      </c>
      <c r="D152" s="294">
        <v>0</v>
      </c>
    </row>
    <row r="153" spans="1:4" ht="19.899999999999999" customHeight="1">
      <c r="A153" s="295"/>
      <c r="B153" s="296" t="s">
        <v>373</v>
      </c>
      <c r="C153" s="297">
        <f>SUM(C149,C145,C141,C137,C133,C131,C127,C123,C119,C115,C111,C107,C103,C99,C95,C91,C87,C83,C79)</f>
        <v>520804.74746023864</v>
      </c>
      <c r="D153" s="297">
        <f>SUM(D149,D145,D141,D137,D133,D131,D127,D123,D119,D115,D111,D107,D103,D99,D95,D91,D87,D83,D79)</f>
        <v>6249656.9695228655</v>
      </c>
    </row>
  </sheetData>
  <sheetProtection password="C643" sheet="1" objects="1" scenarios="1"/>
  <pageMargins left="0.511811024" right="0.511811024" top="0.78740157499999996" bottom="0.78740157499999996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2:AQ54"/>
  <sheetViews>
    <sheetView workbookViewId="0">
      <selection activeCell="G68" sqref="G68"/>
    </sheetView>
  </sheetViews>
  <sheetFormatPr defaultRowHeight="15"/>
  <cols>
    <col min="2" max="2" width="46.7109375" bestFit="1" customWidth="1"/>
    <col min="3" max="3" width="13.7109375" bestFit="1" customWidth="1"/>
    <col min="4" max="4" width="20.140625" bestFit="1" customWidth="1"/>
    <col min="5" max="5" width="79.7109375" bestFit="1" customWidth="1"/>
    <col min="6" max="6" width="31" bestFit="1" customWidth="1"/>
    <col min="7" max="8" width="23.140625" bestFit="1" customWidth="1"/>
    <col min="9" max="9" width="49.28515625" bestFit="1" customWidth="1"/>
    <col min="10" max="10" width="20.85546875" bestFit="1" customWidth="1"/>
  </cols>
  <sheetData>
    <row r="2" spans="1:43" ht="15.75" thickBot="1"/>
    <row r="3" spans="1:43" ht="15.75" thickBot="1">
      <c r="E3" s="602" t="s">
        <v>374</v>
      </c>
      <c r="F3" s="603" t="s">
        <v>375</v>
      </c>
      <c r="G3" s="603" t="s">
        <v>376</v>
      </c>
      <c r="H3" s="603" t="s">
        <v>377</v>
      </c>
      <c r="I3" s="603" t="s">
        <v>378</v>
      </c>
    </row>
    <row r="4" spans="1:43" ht="15.75" thickBot="1">
      <c r="D4" s="488" t="s">
        <v>379</v>
      </c>
      <c r="E4" s="489">
        <f>C11</f>
        <v>54</v>
      </c>
      <c r="F4" s="490">
        <f>C31</f>
        <v>0.56000000000000005</v>
      </c>
      <c r="G4" s="491">
        <f>E4*F4</f>
        <v>30.240000000000002</v>
      </c>
      <c r="H4" s="492">
        <f>C46</f>
        <v>55.188000000000002</v>
      </c>
      <c r="I4" s="493">
        <f t="shared" ref="I4:I5" si="0">C51</f>
        <v>4709.7439200000008</v>
      </c>
    </row>
    <row r="5" spans="1:43" ht="15.75" thickBot="1">
      <c r="D5" s="494" t="s">
        <v>380</v>
      </c>
      <c r="E5" s="489">
        <f>C14</f>
        <v>1404.6313316791347</v>
      </c>
      <c r="F5" s="490">
        <f>C32</f>
        <v>0.28000000000000003</v>
      </c>
      <c r="G5" s="495">
        <f>E5*F5</f>
        <v>393.29677287015778</v>
      </c>
      <c r="H5" s="496">
        <f t="shared" ref="H5" si="1">C47</f>
        <v>717.76661048803794</v>
      </c>
      <c r="I5" s="493">
        <f t="shared" si="0"/>
        <v>61254.202539049162</v>
      </c>
    </row>
    <row r="6" spans="1:43" ht="15.75" thickBot="1">
      <c r="D6" s="488" t="s">
        <v>381</v>
      </c>
      <c r="E6" s="497">
        <f>C38</f>
        <v>8000</v>
      </c>
      <c r="F6" s="522">
        <f>C33</f>
        <v>2E-3</v>
      </c>
      <c r="G6" s="495">
        <f>E6*F6</f>
        <v>16</v>
      </c>
      <c r="H6" s="496">
        <f>C48</f>
        <v>29.2</v>
      </c>
      <c r="I6" s="493">
        <f>C53</f>
        <v>2491.9279999999999</v>
      </c>
    </row>
    <row r="7" spans="1:43">
      <c r="F7" s="604" t="s">
        <v>373</v>
      </c>
      <c r="G7" s="605">
        <f>SUM(G4:G6)</f>
        <v>439.53677287015779</v>
      </c>
      <c r="H7" s="605">
        <f>SUM(H4:H6)</f>
        <v>802.15461048803797</v>
      </c>
      <c r="I7" s="606">
        <f>SUM(I4:I6)</f>
        <v>68455.874459049155</v>
      </c>
      <c r="J7" s="498">
        <f>I7/12</f>
        <v>5704.6562049207632</v>
      </c>
    </row>
    <row r="9" spans="1:43">
      <c r="A9" s="499"/>
      <c r="B9" s="499" t="s">
        <v>382</v>
      </c>
      <c r="C9" s="499"/>
      <c r="D9" s="499"/>
      <c r="E9" s="500"/>
      <c r="F9" s="499"/>
      <c r="G9" s="499"/>
      <c r="H9" s="499"/>
      <c r="I9" s="499"/>
      <c r="J9" s="499"/>
      <c r="K9" s="499"/>
      <c r="L9" s="499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499"/>
      <c r="Z9" s="499"/>
      <c r="AA9" s="499"/>
      <c r="AB9" s="499"/>
      <c r="AC9" s="499"/>
      <c r="AD9" s="499"/>
      <c r="AE9" s="499"/>
      <c r="AF9" s="499"/>
      <c r="AG9" s="499"/>
      <c r="AH9" s="499"/>
      <c r="AI9" s="499"/>
      <c r="AJ9" s="499"/>
      <c r="AK9" s="499"/>
      <c r="AL9" s="499"/>
      <c r="AM9" s="499"/>
      <c r="AN9" s="499"/>
      <c r="AO9" s="499"/>
      <c r="AP9" s="499"/>
      <c r="AQ9" s="499"/>
    </row>
    <row r="10" spans="1:43">
      <c r="A10" s="501"/>
      <c r="B10" s="501"/>
      <c r="C10" s="501"/>
      <c r="D10" s="501"/>
      <c r="E10" s="502"/>
      <c r="F10" s="501"/>
      <c r="L10" s="501"/>
      <c r="M10" s="501"/>
      <c r="N10" s="501"/>
      <c r="O10" s="501"/>
      <c r="P10" s="501"/>
      <c r="Q10" s="501"/>
      <c r="R10" s="501"/>
      <c r="S10" s="501"/>
      <c r="T10" s="501"/>
      <c r="U10" s="501"/>
      <c r="V10" s="501"/>
      <c r="W10" s="501"/>
      <c r="X10" s="501"/>
      <c r="Y10" s="501"/>
      <c r="Z10" s="501"/>
      <c r="AA10" s="501"/>
      <c r="AB10" s="501"/>
      <c r="AC10" s="501"/>
      <c r="AD10" s="501"/>
      <c r="AE10" s="501"/>
      <c r="AF10" s="501"/>
      <c r="AG10" s="501"/>
      <c r="AH10" s="501"/>
      <c r="AI10" s="501"/>
      <c r="AJ10" s="501"/>
      <c r="AK10" s="501"/>
      <c r="AL10" s="501"/>
      <c r="AM10" s="501"/>
      <c r="AN10" s="501"/>
      <c r="AO10" s="501"/>
      <c r="AP10" s="501"/>
      <c r="AQ10" s="501"/>
    </row>
    <row r="11" spans="1:43">
      <c r="A11" s="501"/>
      <c r="B11" s="501" t="s">
        <v>383</v>
      </c>
      <c r="C11" s="503">
        <f>SUM(C12:C13)</f>
        <v>54</v>
      </c>
      <c r="D11" s="501"/>
      <c r="E11" s="502" t="s">
        <v>384</v>
      </c>
      <c r="F11" s="501"/>
      <c r="G11" s="504" t="s">
        <v>385</v>
      </c>
      <c r="H11" s="504" t="s">
        <v>386</v>
      </c>
      <c r="I11" s="504" t="s">
        <v>387</v>
      </c>
      <c r="J11" s="504" t="s">
        <v>386</v>
      </c>
      <c r="K11" s="504"/>
      <c r="L11" s="501"/>
      <c r="M11" s="501"/>
      <c r="N11" s="501"/>
      <c r="O11" s="501"/>
      <c r="P11" s="501"/>
      <c r="Q11" s="501"/>
      <c r="R11" s="501"/>
      <c r="S11" s="501"/>
      <c r="T11" s="501"/>
      <c r="U11" s="501"/>
      <c r="V11" s="501"/>
      <c r="W11" s="501"/>
      <c r="X11" s="501"/>
      <c r="Y11" s="501"/>
      <c r="Z11" s="501"/>
      <c r="AA11" s="501"/>
      <c r="AB11" s="501"/>
      <c r="AC11" s="501"/>
      <c r="AD11" s="501"/>
      <c r="AE11" s="501"/>
      <c r="AF11" s="501"/>
      <c r="AG11" s="501"/>
      <c r="AH11" s="501"/>
      <c r="AI11" s="501"/>
      <c r="AJ11" s="501"/>
      <c r="AK11" s="501"/>
      <c r="AL11" s="501"/>
      <c r="AM11" s="501"/>
      <c r="AN11" s="501"/>
      <c r="AO11" s="501"/>
      <c r="AP11" s="501"/>
      <c r="AQ11" s="501"/>
    </row>
    <row r="12" spans="1:43">
      <c r="A12" s="501"/>
      <c r="B12" s="505" t="s">
        <v>388</v>
      </c>
      <c r="C12" s="501">
        <f>J19</f>
        <v>54</v>
      </c>
      <c r="D12" s="501"/>
      <c r="F12" s="501"/>
      <c r="G12" s="501" t="s">
        <v>389</v>
      </c>
      <c r="H12">
        <v>0</v>
      </c>
      <c r="I12" s="501" t="s">
        <v>390</v>
      </c>
      <c r="J12" s="501">
        <v>8</v>
      </c>
      <c r="K12" s="501"/>
      <c r="L12" s="501"/>
      <c r="M12" s="501"/>
      <c r="N12" s="501"/>
      <c r="O12" s="501"/>
      <c r="P12" s="501"/>
      <c r="Q12" s="501"/>
      <c r="R12" s="501"/>
      <c r="S12" s="501"/>
      <c r="T12" s="501"/>
      <c r="U12" s="501"/>
      <c r="V12" s="501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501"/>
      <c r="AH12" s="501"/>
      <c r="AI12" s="501"/>
      <c r="AJ12" s="501"/>
      <c r="AK12" s="501"/>
      <c r="AL12" s="501"/>
      <c r="AM12" s="501"/>
      <c r="AN12" s="501"/>
      <c r="AO12" s="501"/>
      <c r="AP12" s="501"/>
      <c r="AQ12" s="501"/>
    </row>
    <row r="13" spans="1:43">
      <c r="A13" s="501"/>
      <c r="B13" s="505"/>
      <c r="C13" s="501"/>
      <c r="D13" s="501"/>
      <c r="F13" s="501"/>
      <c r="G13" s="501" t="s">
        <v>22</v>
      </c>
      <c r="H13" s="501">
        <v>4</v>
      </c>
      <c r="I13" s="501" t="s">
        <v>84</v>
      </c>
      <c r="J13" s="501">
        <v>12</v>
      </c>
      <c r="K13" s="501"/>
      <c r="L13" s="501"/>
      <c r="M13" s="501"/>
      <c r="N13" s="501"/>
      <c r="O13" s="501"/>
      <c r="P13" s="501"/>
      <c r="Q13" s="501"/>
      <c r="R13" s="501"/>
      <c r="S13" s="501"/>
      <c r="T13" s="501"/>
      <c r="U13" s="501"/>
      <c r="V13" s="501"/>
      <c r="W13" s="501"/>
      <c r="X13" s="501"/>
      <c r="Y13" s="501"/>
      <c r="Z13" s="501"/>
      <c r="AA13" s="501"/>
      <c r="AB13" s="501"/>
      <c r="AC13" s="501"/>
      <c r="AD13" s="501"/>
      <c r="AE13" s="501"/>
      <c r="AF13" s="501"/>
      <c r="AG13" s="501"/>
      <c r="AH13" s="501"/>
      <c r="AI13" s="501"/>
      <c r="AJ13" s="501"/>
      <c r="AK13" s="501"/>
      <c r="AL13" s="501"/>
      <c r="AM13" s="501"/>
      <c r="AN13" s="501"/>
      <c r="AO13" s="501"/>
      <c r="AP13" s="501"/>
      <c r="AQ13" s="501"/>
    </row>
    <row r="14" spans="1:43">
      <c r="A14" s="501"/>
      <c r="B14" s="501" t="s">
        <v>391</v>
      </c>
      <c r="C14" s="506">
        <f>C15/C16</f>
        <v>1404.6313316791347</v>
      </c>
      <c r="D14" s="501" t="s">
        <v>392</v>
      </c>
      <c r="E14" s="502" t="s">
        <v>393</v>
      </c>
      <c r="F14" s="501"/>
      <c r="G14" s="501" t="s">
        <v>26</v>
      </c>
      <c r="H14" s="501">
        <v>2</v>
      </c>
      <c r="I14" s="501" t="s">
        <v>394</v>
      </c>
      <c r="J14" s="501">
        <v>3</v>
      </c>
      <c r="K14" s="501"/>
      <c r="L14" s="501"/>
      <c r="M14" s="501"/>
      <c r="N14" s="501"/>
      <c r="O14" s="501"/>
      <c r="P14" s="501"/>
      <c r="Q14" s="501"/>
      <c r="R14" s="501"/>
      <c r="S14" s="501"/>
      <c r="T14" s="501"/>
      <c r="U14" s="501"/>
      <c r="V14" s="501"/>
      <c r="W14" s="501"/>
      <c r="X14" s="501"/>
      <c r="Y14" s="501"/>
      <c r="Z14" s="501"/>
      <c r="AA14" s="501"/>
      <c r="AB14" s="501"/>
      <c r="AC14" s="501"/>
      <c r="AD14" s="501"/>
      <c r="AE14" s="501"/>
      <c r="AF14" s="501"/>
      <c r="AG14" s="501"/>
      <c r="AH14" s="501"/>
      <c r="AI14" s="501"/>
      <c r="AJ14" s="501"/>
      <c r="AK14" s="501"/>
      <c r="AL14" s="501"/>
      <c r="AM14" s="501"/>
      <c r="AN14" s="501"/>
      <c r="AO14" s="501"/>
      <c r="AP14" s="501"/>
      <c r="AQ14" s="501"/>
    </row>
    <row r="15" spans="1:43">
      <c r="A15" s="501"/>
      <c r="B15" s="501" t="s">
        <v>395</v>
      </c>
      <c r="C15" s="507">
        <f>AVERAGE('Estudo de Demanda'!H14:AK14)</f>
        <v>512690.43606288417</v>
      </c>
      <c r="D15" s="501"/>
      <c r="E15" s="502"/>
      <c r="F15" s="501"/>
      <c r="G15" s="501" t="s">
        <v>30</v>
      </c>
      <c r="H15" s="501">
        <v>1</v>
      </c>
      <c r="I15" s="501" t="s">
        <v>396</v>
      </c>
      <c r="J15" s="501">
        <v>6</v>
      </c>
      <c r="K15" s="501"/>
      <c r="L15" s="501"/>
      <c r="M15" s="501"/>
      <c r="N15" s="501"/>
      <c r="O15" s="501"/>
      <c r="P15" s="501"/>
      <c r="Q15" s="501"/>
      <c r="R15" s="501"/>
      <c r="S15" s="501"/>
      <c r="T15" s="501"/>
      <c r="U15" s="501"/>
      <c r="V15" s="501"/>
      <c r="W15" s="501"/>
      <c r="X15" s="501"/>
      <c r="Y15" s="501"/>
      <c r="Z15" s="501"/>
      <c r="AA15" s="501"/>
      <c r="AB15" s="501"/>
      <c r="AC15" s="501"/>
      <c r="AD15" s="501"/>
      <c r="AE15" s="501"/>
      <c r="AF15" s="501"/>
      <c r="AG15" s="501"/>
      <c r="AH15" s="501"/>
      <c r="AI15" s="501"/>
      <c r="AJ15" s="501"/>
      <c r="AK15" s="501"/>
      <c r="AL15" s="501"/>
      <c r="AM15" s="501"/>
      <c r="AN15" s="501"/>
      <c r="AO15" s="501"/>
      <c r="AP15" s="501"/>
      <c r="AQ15" s="501"/>
    </row>
    <row r="16" spans="1:43">
      <c r="A16" s="501"/>
      <c r="B16" s="501" t="s">
        <v>397</v>
      </c>
      <c r="C16">
        <v>365</v>
      </c>
      <c r="E16" s="502"/>
      <c r="F16" s="501"/>
      <c r="G16" s="501" t="s">
        <v>398</v>
      </c>
      <c r="H16" s="501">
        <v>3</v>
      </c>
      <c r="I16" s="501" t="s">
        <v>399</v>
      </c>
      <c r="J16" s="501">
        <v>1</v>
      </c>
      <c r="K16" s="501"/>
      <c r="L16" s="501"/>
      <c r="M16" s="501"/>
      <c r="N16" s="501"/>
      <c r="O16" s="501"/>
      <c r="P16" s="501"/>
      <c r="Q16" s="501"/>
      <c r="R16" s="501"/>
      <c r="S16" s="501"/>
      <c r="T16" s="501"/>
      <c r="U16" s="501"/>
      <c r="V16" s="501"/>
      <c r="W16" s="501"/>
      <c r="X16" s="501"/>
      <c r="Y16" s="501"/>
      <c r="Z16" s="501"/>
      <c r="AA16" s="501"/>
      <c r="AB16" s="501"/>
      <c r="AC16" s="501"/>
      <c r="AD16" s="501"/>
      <c r="AE16" s="501"/>
      <c r="AF16" s="501"/>
      <c r="AG16" s="501"/>
      <c r="AH16" s="501"/>
      <c r="AI16" s="501"/>
      <c r="AJ16" s="501"/>
      <c r="AK16" s="501"/>
      <c r="AL16" s="501"/>
      <c r="AM16" s="501"/>
      <c r="AN16" s="501"/>
      <c r="AO16" s="501"/>
      <c r="AP16" s="501"/>
      <c r="AQ16" s="501"/>
    </row>
    <row r="17" spans="1:43">
      <c r="A17" s="501"/>
      <c r="E17" s="502"/>
      <c r="F17" s="501"/>
      <c r="G17" s="501" t="s">
        <v>41</v>
      </c>
      <c r="H17" s="501">
        <v>2</v>
      </c>
      <c r="I17" s="501" t="s">
        <v>400</v>
      </c>
      <c r="J17" s="501">
        <v>3</v>
      </c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Z17" s="501"/>
      <c r="AA17" s="501"/>
      <c r="AB17" s="501"/>
      <c r="AC17" s="501"/>
      <c r="AD17" s="501"/>
      <c r="AE17" s="501"/>
      <c r="AF17" s="501"/>
      <c r="AG17" s="501"/>
      <c r="AH17" s="501"/>
      <c r="AI17" s="501"/>
      <c r="AJ17" s="501"/>
      <c r="AK17" s="501"/>
      <c r="AL17" s="501"/>
      <c r="AM17" s="501"/>
      <c r="AN17" s="501"/>
      <c r="AO17" s="501"/>
      <c r="AP17" s="501"/>
      <c r="AQ17" s="501"/>
    </row>
    <row r="18" spans="1:43">
      <c r="A18" s="501"/>
      <c r="D18" s="501"/>
      <c r="E18" s="502"/>
      <c r="F18" s="501"/>
      <c r="G18" s="501" t="s">
        <v>45</v>
      </c>
      <c r="H18" s="501">
        <v>0</v>
      </c>
      <c r="I18" s="501"/>
      <c r="J18" s="501"/>
      <c r="K18" s="501"/>
      <c r="L18" s="501"/>
      <c r="M18" s="501"/>
      <c r="N18" s="501"/>
      <c r="O18" s="501"/>
      <c r="P18" s="501"/>
      <c r="Q18" s="501"/>
      <c r="R18" s="501"/>
      <c r="S18" s="501"/>
      <c r="T18" s="501"/>
      <c r="U18" s="501"/>
      <c r="V18" s="501"/>
      <c r="W18" s="501"/>
      <c r="X18" s="501"/>
      <c r="Y18" s="501"/>
      <c r="Z18" s="501"/>
      <c r="AA18" s="501"/>
      <c r="AB18" s="501"/>
      <c r="AC18" s="501"/>
      <c r="AD18" s="501"/>
      <c r="AE18" s="501"/>
      <c r="AF18" s="501"/>
      <c r="AG18" s="501"/>
      <c r="AH18" s="501"/>
      <c r="AI18" s="501"/>
      <c r="AJ18" s="501"/>
      <c r="AK18" s="501"/>
      <c r="AL18" s="501"/>
      <c r="AM18" s="501"/>
      <c r="AN18" s="501"/>
      <c r="AO18" s="501"/>
      <c r="AP18" s="501"/>
      <c r="AQ18" s="501"/>
    </row>
    <row r="19" spans="1:43">
      <c r="A19" s="501"/>
      <c r="B19" s="505"/>
      <c r="C19" s="501"/>
      <c r="D19" s="501"/>
      <c r="E19" s="502"/>
      <c r="F19" s="501"/>
      <c r="G19" s="501" t="s">
        <v>401</v>
      </c>
      <c r="H19" s="501">
        <v>4</v>
      </c>
      <c r="I19" s="501" t="s">
        <v>373</v>
      </c>
      <c r="J19" s="508">
        <f>SUM(H12:H22,J12:J17)</f>
        <v>54</v>
      </c>
      <c r="K19" s="501"/>
      <c r="L19" s="501"/>
      <c r="M19" s="501"/>
      <c r="N19" s="501"/>
      <c r="O19" s="501"/>
      <c r="P19" s="501"/>
      <c r="Q19" s="501"/>
      <c r="R19" s="501"/>
      <c r="S19" s="501"/>
      <c r="T19" s="501"/>
      <c r="U19" s="501"/>
      <c r="V19" s="501"/>
      <c r="W19" s="501"/>
      <c r="X19" s="501"/>
      <c r="Y19" s="501"/>
      <c r="Z19" s="501"/>
      <c r="AA19" s="501"/>
      <c r="AB19" s="501"/>
      <c r="AC19" s="501"/>
      <c r="AD19" s="501"/>
      <c r="AE19" s="501"/>
      <c r="AF19" s="501"/>
      <c r="AG19" s="501"/>
      <c r="AH19" s="501"/>
      <c r="AI19" s="501"/>
      <c r="AJ19" s="501"/>
      <c r="AK19" s="501"/>
      <c r="AL19" s="501"/>
      <c r="AM19" s="501"/>
      <c r="AN19" s="501"/>
      <c r="AO19" s="501"/>
      <c r="AP19" s="501"/>
      <c r="AQ19" s="501"/>
    </row>
    <row r="20" spans="1:43">
      <c r="A20" s="501"/>
      <c r="B20" s="509"/>
      <c r="C20" s="510"/>
      <c r="D20" s="501"/>
      <c r="E20" s="502"/>
      <c r="F20" s="501"/>
      <c r="G20" s="501" t="s">
        <v>52</v>
      </c>
      <c r="H20" s="501">
        <v>1</v>
      </c>
      <c r="I20" s="501"/>
      <c r="J20" s="501"/>
      <c r="K20" s="501"/>
      <c r="L20" s="501"/>
      <c r="M20" s="501"/>
      <c r="N20" s="501"/>
      <c r="O20" s="501"/>
      <c r="P20" s="501"/>
      <c r="Q20" s="501"/>
      <c r="R20" s="501"/>
      <c r="S20" s="501"/>
      <c r="T20" s="501"/>
      <c r="U20" s="501"/>
      <c r="V20" s="501"/>
      <c r="W20" s="501"/>
      <c r="X20" s="501"/>
      <c r="Y20" s="501"/>
      <c r="Z20" s="501"/>
      <c r="AA20" s="501"/>
      <c r="AB20" s="501"/>
      <c r="AC20" s="501"/>
      <c r="AD20" s="501"/>
      <c r="AE20" s="501"/>
      <c r="AF20" s="501"/>
      <c r="AG20" s="501"/>
      <c r="AH20" s="501"/>
      <c r="AI20" s="501"/>
      <c r="AJ20" s="501"/>
      <c r="AK20" s="501"/>
      <c r="AL20" s="501"/>
      <c r="AM20" s="501"/>
      <c r="AN20" s="501"/>
      <c r="AO20" s="501"/>
      <c r="AP20" s="501"/>
      <c r="AQ20" s="501"/>
    </row>
    <row r="21" spans="1:43">
      <c r="B21" s="509"/>
      <c r="C21" s="501"/>
      <c r="D21" s="501"/>
      <c r="G21" s="501" t="s">
        <v>56</v>
      </c>
      <c r="H21" s="501">
        <v>1</v>
      </c>
      <c r="I21" s="501"/>
      <c r="J21" s="501"/>
      <c r="K21" s="501"/>
    </row>
    <row r="22" spans="1:43">
      <c r="B22" s="505"/>
      <c r="C22" s="501"/>
      <c r="D22" s="501"/>
      <c r="G22" s="501" t="s">
        <v>402</v>
      </c>
      <c r="H22" s="501">
        <v>3</v>
      </c>
      <c r="I22" s="501"/>
      <c r="J22" s="501"/>
      <c r="K22" s="501"/>
    </row>
    <row r="23" spans="1:43">
      <c r="B23" s="505"/>
      <c r="C23" s="501"/>
    </row>
    <row r="24" spans="1:43">
      <c r="A24" s="511"/>
      <c r="B24" s="511" t="s">
        <v>348</v>
      </c>
      <c r="C24" s="511"/>
      <c r="D24" s="511"/>
      <c r="E24" s="512"/>
      <c r="F24" s="511"/>
      <c r="G24" s="511"/>
      <c r="H24" s="511"/>
      <c r="I24" s="511"/>
      <c r="J24" s="511"/>
      <c r="K24" s="511"/>
      <c r="L24" s="511"/>
      <c r="M24" s="511"/>
      <c r="N24" s="511"/>
      <c r="O24" s="511"/>
      <c r="P24" s="511"/>
      <c r="Q24" s="511"/>
      <c r="R24" s="511"/>
      <c r="S24" s="511"/>
      <c r="T24" s="511"/>
      <c r="U24" s="511"/>
      <c r="V24" s="511"/>
      <c r="W24" s="511"/>
      <c r="X24" s="511"/>
      <c r="Y24" s="511"/>
      <c r="Z24" s="511"/>
      <c r="AA24" s="511"/>
      <c r="AB24" s="511"/>
      <c r="AC24" s="511"/>
      <c r="AD24" s="511"/>
      <c r="AE24" s="511"/>
      <c r="AF24" s="511"/>
      <c r="AG24" s="511"/>
      <c r="AH24" s="511"/>
      <c r="AI24" s="511"/>
      <c r="AJ24" s="511"/>
      <c r="AK24" s="511"/>
      <c r="AL24" s="511"/>
      <c r="AM24" s="511"/>
      <c r="AN24" s="511"/>
      <c r="AO24" s="511"/>
      <c r="AP24" s="511"/>
      <c r="AQ24" s="511"/>
    </row>
    <row r="25" spans="1:43">
      <c r="A25" s="501"/>
      <c r="B25" s="501"/>
      <c r="C25" s="501"/>
      <c r="D25" s="501"/>
      <c r="E25" s="502"/>
      <c r="F25" s="501"/>
      <c r="G25" s="501"/>
      <c r="H25" s="501"/>
      <c r="I25" s="501"/>
      <c r="J25" s="501"/>
      <c r="K25" s="501"/>
      <c r="L25" s="501"/>
      <c r="M25" s="501"/>
      <c r="N25" s="501"/>
      <c r="O25" s="501"/>
      <c r="P25" s="501"/>
      <c r="Q25" s="501"/>
      <c r="R25" s="501"/>
      <c r="S25" s="501"/>
      <c r="T25" s="501"/>
      <c r="U25" s="501"/>
      <c r="V25" s="501"/>
      <c r="W25" s="501"/>
      <c r="X25" s="501"/>
      <c r="Y25" s="501"/>
      <c r="Z25" s="501"/>
      <c r="AA25" s="501"/>
      <c r="AB25" s="501"/>
      <c r="AC25" s="501"/>
      <c r="AD25" s="501"/>
      <c r="AE25" s="501"/>
      <c r="AF25" s="501"/>
      <c r="AG25" s="501"/>
      <c r="AH25" s="501"/>
      <c r="AI25" s="501"/>
      <c r="AJ25" s="501"/>
      <c r="AK25" s="501"/>
      <c r="AL25" s="501"/>
      <c r="AM25" s="501"/>
      <c r="AN25" s="501"/>
      <c r="AO25" s="501"/>
      <c r="AP25" s="501"/>
      <c r="AQ25" s="501"/>
    </row>
    <row r="26" spans="1:43">
      <c r="A26" s="501"/>
      <c r="B26" s="501" t="s">
        <v>403</v>
      </c>
      <c r="C26" s="503">
        <v>85.34</v>
      </c>
      <c r="D26" s="501" t="s">
        <v>404</v>
      </c>
      <c r="E26" s="502"/>
      <c r="F26" s="501"/>
      <c r="G26" s="501"/>
      <c r="H26" s="501"/>
      <c r="I26" s="501"/>
      <c r="J26" s="501"/>
      <c r="K26" s="501"/>
      <c r="L26" s="501"/>
      <c r="M26" s="501"/>
      <c r="N26" s="501"/>
      <c r="O26" s="501"/>
      <c r="P26" s="501"/>
      <c r="Q26" s="501"/>
      <c r="R26" s="501"/>
      <c r="S26" s="501"/>
      <c r="T26" s="501"/>
      <c r="U26" s="501"/>
      <c r="V26" s="501"/>
      <c r="W26" s="501"/>
      <c r="X26" s="501"/>
      <c r="Y26" s="501"/>
      <c r="Z26" s="501"/>
      <c r="AA26" s="501"/>
      <c r="AB26" s="501"/>
      <c r="AC26" s="501"/>
      <c r="AD26" s="501"/>
      <c r="AE26" s="501"/>
      <c r="AF26" s="501"/>
      <c r="AG26" s="501"/>
      <c r="AH26" s="501"/>
      <c r="AI26" s="501"/>
      <c r="AJ26" s="501"/>
      <c r="AK26" s="501"/>
      <c r="AL26" s="501"/>
      <c r="AM26" s="501"/>
      <c r="AN26" s="501"/>
      <c r="AO26" s="501"/>
      <c r="AP26" s="501"/>
      <c r="AQ26" s="501"/>
    </row>
    <row r="27" spans="1:43">
      <c r="A27" s="501"/>
      <c r="B27" s="501" t="s">
        <v>405</v>
      </c>
      <c r="C27" s="503">
        <v>200</v>
      </c>
      <c r="D27" s="501" t="s">
        <v>406</v>
      </c>
      <c r="E27" s="502"/>
      <c r="F27" s="501"/>
      <c r="G27" s="501"/>
      <c r="H27" s="501"/>
      <c r="I27" s="501"/>
      <c r="J27" s="501"/>
      <c r="K27" s="501"/>
      <c r="L27" s="501"/>
      <c r="M27" s="501"/>
      <c r="N27" s="501"/>
      <c r="O27" s="501"/>
      <c r="P27" s="501"/>
      <c r="Q27" s="501"/>
      <c r="R27" s="501"/>
      <c r="S27" s="501"/>
      <c r="T27" s="501"/>
      <c r="U27" s="501"/>
      <c r="V27" s="501"/>
      <c r="W27" s="501"/>
      <c r="X27" s="501"/>
      <c r="Y27" s="501"/>
      <c r="Z27" s="501"/>
      <c r="AA27" s="501"/>
      <c r="AB27" s="501"/>
      <c r="AC27" s="501"/>
      <c r="AD27" s="501"/>
      <c r="AE27" s="501"/>
      <c r="AF27" s="501"/>
      <c r="AG27" s="501"/>
      <c r="AH27" s="501"/>
      <c r="AI27" s="501"/>
      <c r="AJ27" s="501"/>
      <c r="AK27" s="501"/>
      <c r="AL27" s="501"/>
      <c r="AM27" s="501"/>
      <c r="AN27" s="501"/>
      <c r="AO27" s="501"/>
      <c r="AP27" s="501"/>
      <c r="AQ27" s="501"/>
    </row>
    <row r="28" spans="1:43">
      <c r="A28" s="501"/>
      <c r="B28" s="501"/>
      <c r="C28" s="501"/>
      <c r="D28" s="501"/>
      <c r="E28" s="502"/>
      <c r="F28" s="501"/>
      <c r="G28" s="501"/>
      <c r="H28" s="501"/>
      <c r="I28" s="501"/>
      <c r="J28" s="501"/>
      <c r="K28" s="501"/>
      <c r="L28" s="501"/>
      <c r="M28" s="501"/>
      <c r="N28" s="501"/>
      <c r="O28" s="501"/>
      <c r="P28" s="501"/>
      <c r="Q28" s="501"/>
      <c r="R28" s="501"/>
      <c r="S28" s="501"/>
      <c r="T28" s="501"/>
      <c r="U28" s="501"/>
      <c r="V28" s="501"/>
      <c r="W28" s="501"/>
      <c r="X28" s="501"/>
      <c r="Y28" s="501"/>
      <c r="Z28" s="501"/>
      <c r="AA28" s="501"/>
      <c r="AB28" s="501"/>
      <c r="AC28" s="501"/>
      <c r="AD28" s="501"/>
      <c r="AE28" s="501"/>
      <c r="AF28" s="501"/>
      <c r="AG28" s="501"/>
      <c r="AH28" s="501"/>
      <c r="AI28" s="501"/>
      <c r="AJ28" s="501"/>
      <c r="AK28" s="501"/>
      <c r="AL28" s="501"/>
      <c r="AM28" s="501"/>
      <c r="AN28" s="501"/>
      <c r="AO28" s="501"/>
      <c r="AP28" s="501"/>
      <c r="AQ28" s="501"/>
    </row>
    <row r="29" spans="1:43">
      <c r="A29" s="501"/>
      <c r="B29" s="513" t="s">
        <v>407</v>
      </c>
      <c r="C29" s="513"/>
      <c r="D29" s="513"/>
      <c r="E29" s="502"/>
      <c r="F29" s="501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501"/>
      <c r="AJ29" s="501"/>
      <c r="AK29" s="501"/>
      <c r="AL29" s="501"/>
      <c r="AM29" s="501"/>
      <c r="AN29" s="501"/>
      <c r="AO29" s="501"/>
      <c r="AP29" s="501"/>
      <c r="AQ29" s="501"/>
    </row>
    <row r="30" spans="1:43">
      <c r="A30" s="501"/>
      <c r="B30" s="501"/>
      <c r="C30" s="514">
        <v>1.1200000000000001</v>
      </c>
      <c r="D30" s="501" t="s">
        <v>408</v>
      </c>
      <c r="E30" s="341" t="s">
        <v>409</v>
      </c>
      <c r="F30" s="501"/>
      <c r="G30" s="501"/>
      <c r="H30" s="501"/>
      <c r="I30" s="501"/>
      <c r="J30" s="501"/>
      <c r="K30" s="501"/>
      <c r="L30" s="501"/>
      <c r="M30" s="501"/>
      <c r="N30" s="501"/>
      <c r="O30" s="501"/>
      <c r="P30" s="501"/>
      <c r="Q30" s="501"/>
      <c r="R30" s="501"/>
      <c r="S30" s="501"/>
      <c r="T30" s="501"/>
      <c r="U30" s="501"/>
      <c r="V30" s="501"/>
      <c r="W30" s="501"/>
      <c r="X30" s="501"/>
      <c r="Y30" s="501"/>
      <c r="Z30" s="501"/>
      <c r="AA30" s="501"/>
      <c r="AB30" s="501"/>
      <c r="AC30" s="501"/>
      <c r="AD30" s="501"/>
      <c r="AE30" s="501"/>
      <c r="AF30" s="501"/>
      <c r="AG30" s="501"/>
      <c r="AH30" s="501"/>
      <c r="AI30" s="501"/>
      <c r="AJ30" s="501"/>
      <c r="AK30" s="501"/>
      <c r="AL30" s="501"/>
      <c r="AM30" s="501"/>
      <c r="AN30" s="501"/>
      <c r="AO30" s="501"/>
      <c r="AP30" s="501"/>
      <c r="AQ30" s="501"/>
    </row>
    <row r="31" spans="1:43">
      <c r="A31" s="501"/>
      <c r="B31" s="505" t="s">
        <v>379</v>
      </c>
      <c r="C31" s="503">
        <f>C30*0.5</f>
        <v>0.56000000000000005</v>
      </c>
      <c r="D31" s="501" t="s">
        <v>408</v>
      </c>
      <c r="E31" s="502" t="s">
        <v>410</v>
      </c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  <c r="Q31" s="501"/>
      <c r="R31" s="501"/>
      <c r="S31" s="501"/>
      <c r="T31" s="501"/>
      <c r="U31" s="501"/>
      <c r="V31" s="501"/>
      <c r="W31" s="501"/>
      <c r="X31" s="501"/>
      <c r="Y31" s="501"/>
      <c r="Z31" s="501"/>
      <c r="AA31" s="501"/>
      <c r="AB31" s="501"/>
      <c r="AC31" s="501"/>
      <c r="AD31" s="501"/>
      <c r="AE31" s="501"/>
      <c r="AF31" s="501"/>
      <c r="AG31" s="501"/>
      <c r="AH31" s="501"/>
      <c r="AI31" s="501"/>
      <c r="AJ31" s="501"/>
      <c r="AK31" s="501"/>
      <c r="AL31" s="501"/>
      <c r="AM31" s="501"/>
      <c r="AN31" s="501"/>
      <c r="AO31" s="501"/>
      <c r="AP31" s="501"/>
      <c r="AQ31" s="501"/>
    </row>
    <row r="32" spans="1:43">
      <c r="A32" s="501"/>
      <c r="B32" s="505" t="s">
        <v>380</v>
      </c>
      <c r="C32" s="503">
        <f>C30*0.25</f>
        <v>0.28000000000000003</v>
      </c>
      <c r="D32" s="501" t="s">
        <v>408</v>
      </c>
      <c r="E32" s="502" t="s">
        <v>411</v>
      </c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  <c r="Q32" s="501"/>
      <c r="R32" s="501"/>
      <c r="S32" s="501"/>
      <c r="T32" s="501"/>
      <c r="U32" s="501"/>
      <c r="V32" s="501"/>
      <c r="W32" s="501"/>
      <c r="X32" s="501"/>
      <c r="Y32" s="501"/>
      <c r="Z32" s="501"/>
      <c r="AA32" s="501"/>
      <c r="AB32" s="501"/>
      <c r="AC32" s="501"/>
      <c r="AD32" s="501"/>
      <c r="AE32" s="501"/>
      <c r="AF32" s="501"/>
      <c r="AG32" s="501"/>
      <c r="AH32" s="501"/>
      <c r="AI32" s="501"/>
      <c r="AJ32" s="501"/>
      <c r="AK32" s="501"/>
      <c r="AL32" s="501"/>
      <c r="AM32" s="501"/>
      <c r="AN32" s="501"/>
      <c r="AO32" s="501"/>
      <c r="AP32" s="501"/>
      <c r="AQ32" s="501"/>
    </row>
    <row r="33" spans="1:43">
      <c r="A33" s="501"/>
      <c r="B33" s="505" t="s">
        <v>412</v>
      </c>
      <c r="C33" s="514">
        <v>2E-3</v>
      </c>
      <c r="D33" s="501" t="s">
        <v>413</v>
      </c>
      <c r="E33" s="502"/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  <c r="Q33" s="501"/>
      <c r="R33" s="501"/>
      <c r="S33" s="501"/>
      <c r="T33" s="501"/>
      <c r="U33" s="501"/>
      <c r="V33" s="501"/>
      <c r="W33" s="501"/>
      <c r="X33" s="501"/>
      <c r="Y33" s="501"/>
      <c r="Z33" s="501"/>
      <c r="AA33" s="501"/>
      <c r="AB33" s="501"/>
      <c r="AC33" s="501"/>
      <c r="AD33" s="501"/>
      <c r="AE33" s="501"/>
      <c r="AF33" s="501"/>
      <c r="AG33" s="501"/>
      <c r="AH33" s="501"/>
      <c r="AI33" s="501"/>
      <c r="AJ33" s="501"/>
      <c r="AK33" s="501"/>
      <c r="AL33" s="501"/>
      <c r="AM33" s="501"/>
      <c r="AN33" s="501"/>
      <c r="AO33" s="501"/>
      <c r="AP33" s="501"/>
      <c r="AQ33" s="501"/>
    </row>
    <row r="34" spans="1:43">
      <c r="A34" s="501"/>
      <c r="B34" s="501"/>
      <c r="C34" s="501"/>
      <c r="D34" s="501"/>
      <c r="E34" s="502"/>
      <c r="F34" s="501"/>
      <c r="G34" s="501"/>
      <c r="H34" s="501"/>
      <c r="I34" s="501"/>
      <c r="J34" s="501"/>
      <c r="K34" s="501"/>
      <c r="L34" s="501"/>
      <c r="M34" s="501"/>
      <c r="N34" s="501"/>
      <c r="O34" s="501"/>
      <c r="P34" s="501"/>
      <c r="Q34" s="501"/>
      <c r="R34" s="501"/>
      <c r="S34" s="501"/>
      <c r="T34" s="501"/>
      <c r="U34" s="501"/>
      <c r="V34" s="501"/>
      <c r="W34" s="501"/>
      <c r="X34" s="501"/>
      <c r="Y34" s="501"/>
      <c r="Z34" s="501"/>
      <c r="AA34" s="501"/>
      <c r="AB34" s="501"/>
      <c r="AC34" s="501"/>
      <c r="AD34" s="501"/>
      <c r="AE34" s="501"/>
      <c r="AF34" s="501"/>
      <c r="AG34" s="501"/>
      <c r="AH34" s="501"/>
      <c r="AI34" s="501"/>
      <c r="AJ34" s="501"/>
      <c r="AK34" s="501"/>
      <c r="AL34" s="501"/>
      <c r="AM34" s="501"/>
      <c r="AN34" s="501"/>
      <c r="AO34" s="501"/>
      <c r="AP34" s="501"/>
      <c r="AQ34" s="501"/>
    </row>
    <row r="35" spans="1:43">
      <c r="A35" s="501"/>
      <c r="B35" s="515" t="s">
        <v>414</v>
      </c>
      <c r="C35" s="513"/>
      <c r="D35" s="513"/>
      <c r="E35" s="502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1"/>
      <c r="Q35" s="501"/>
      <c r="R35" s="501"/>
      <c r="S35" s="501"/>
      <c r="T35" s="501"/>
      <c r="U35" s="501"/>
      <c r="V35" s="501"/>
      <c r="W35" s="501"/>
      <c r="X35" s="501"/>
      <c r="Y35" s="501"/>
      <c r="Z35" s="501"/>
      <c r="AA35" s="501"/>
      <c r="AB35" s="501"/>
      <c r="AC35" s="501"/>
      <c r="AD35" s="501"/>
      <c r="AE35" s="501"/>
      <c r="AF35" s="501"/>
      <c r="AG35" s="501"/>
      <c r="AH35" s="501"/>
      <c r="AI35" s="501"/>
      <c r="AJ35" s="501"/>
      <c r="AK35" s="501"/>
      <c r="AL35" s="501"/>
      <c r="AM35" s="501"/>
      <c r="AN35" s="501"/>
      <c r="AO35" s="501"/>
      <c r="AP35" s="501"/>
      <c r="AQ35" s="501"/>
    </row>
    <row r="36" spans="1:43">
      <c r="A36" s="501"/>
      <c r="B36" s="505" t="s">
        <v>379</v>
      </c>
      <c r="C36" s="501">
        <f>C11</f>
        <v>54</v>
      </c>
      <c r="D36" s="501" t="s">
        <v>415</v>
      </c>
      <c r="E36" s="502"/>
      <c r="F36" s="501"/>
      <c r="G36" s="501"/>
      <c r="H36" s="501"/>
      <c r="I36" s="501"/>
      <c r="J36" s="501"/>
      <c r="K36" s="501"/>
      <c r="L36" s="501"/>
      <c r="M36" s="501"/>
      <c r="N36" s="501"/>
      <c r="O36" s="501"/>
      <c r="P36" s="501"/>
      <c r="Q36" s="501"/>
      <c r="R36" s="501"/>
      <c r="S36" s="501"/>
      <c r="T36" s="501"/>
      <c r="U36" s="501"/>
      <c r="V36" s="501"/>
      <c r="W36" s="501"/>
      <c r="X36" s="501"/>
      <c r="Y36" s="501"/>
      <c r="Z36" s="501"/>
      <c r="AA36" s="501"/>
      <c r="AB36" s="501"/>
      <c r="AC36" s="501"/>
      <c r="AD36" s="501"/>
      <c r="AE36" s="501"/>
      <c r="AF36" s="501"/>
      <c r="AG36" s="501"/>
      <c r="AH36" s="501"/>
      <c r="AI36" s="501"/>
      <c r="AJ36" s="501"/>
      <c r="AK36" s="501"/>
      <c r="AL36" s="501"/>
      <c r="AM36" s="501"/>
      <c r="AN36" s="501"/>
      <c r="AO36" s="501"/>
      <c r="AP36" s="501"/>
      <c r="AQ36" s="501"/>
    </row>
    <row r="37" spans="1:43">
      <c r="A37" s="501"/>
      <c r="B37" s="505" t="s">
        <v>380</v>
      </c>
      <c r="C37" s="516">
        <f>C14</f>
        <v>1404.6313316791347</v>
      </c>
      <c r="D37" s="501" t="s">
        <v>415</v>
      </c>
      <c r="E37" s="502"/>
      <c r="F37" s="501"/>
      <c r="G37" s="501"/>
      <c r="H37" s="501"/>
      <c r="I37" s="501"/>
      <c r="J37" s="501"/>
      <c r="K37" s="501"/>
      <c r="L37" s="501"/>
      <c r="M37" s="501"/>
      <c r="N37" s="501"/>
      <c r="O37" s="501"/>
      <c r="P37" s="501"/>
      <c r="Q37" s="501"/>
      <c r="R37" s="501"/>
      <c r="S37" s="501"/>
      <c r="T37" s="501"/>
      <c r="U37" s="501"/>
      <c r="V37" s="501"/>
      <c r="W37" s="501"/>
      <c r="X37" s="501"/>
      <c r="Y37" s="501"/>
      <c r="Z37" s="501"/>
      <c r="AA37" s="501"/>
      <c r="AB37" s="501"/>
      <c r="AC37" s="501"/>
      <c r="AD37" s="501"/>
      <c r="AE37" s="501"/>
      <c r="AF37" s="501"/>
      <c r="AG37" s="501"/>
      <c r="AH37" s="501"/>
      <c r="AI37" s="501"/>
      <c r="AJ37" s="501"/>
      <c r="AK37" s="501"/>
      <c r="AL37" s="501"/>
      <c r="AM37" s="501"/>
      <c r="AN37" s="501"/>
      <c r="AO37" s="501"/>
      <c r="AP37" s="501"/>
      <c r="AQ37" s="501"/>
    </row>
    <row r="38" spans="1:43">
      <c r="A38" s="501"/>
      <c r="B38" s="505" t="s">
        <v>381</v>
      </c>
      <c r="C38" s="517">
        <v>8000</v>
      </c>
      <c r="D38" s="501" t="s">
        <v>178</v>
      </c>
      <c r="E38" s="502"/>
      <c r="F38" s="501"/>
      <c r="G38" s="501"/>
      <c r="H38" s="501"/>
      <c r="I38" s="501"/>
      <c r="J38" s="501"/>
      <c r="K38" s="501"/>
      <c r="L38" s="501"/>
      <c r="M38" s="501"/>
      <c r="N38" s="501"/>
      <c r="O38" s="501"/>
      <c r="P38" s="501"/>
      <c r="Q38" s="501"/>
      <c r="R38" s="501"/>
      <c r="S38" s="501"/>
      <c r="T38" s="501"/>
      <c r="U38" s="501"/>
      <c r="V38" s="501"/>
      <c r="W38" s="501"/>
      <c r="X38" s="501"/>
      <c r="Y38" s="501"/>
      <c r="Z38" s="501"/>
      <c r="AA38" s="501"/>
      <c r="AB38" s="501"/>
      <c r="AC38" s="501"/>
      <c r="AD38" s="501"/>
      <c r="AE38" s="501"/>
      <c r="AF38" s="501"/>
      <c r="AG38" s="501"/>
      <c r="AH38" s="501"/>
      <c r="AI38" s="501"/>
      <c r="AJ38" s="501"/>
      <c r="AK38" s="501"/>
      <c r="AL38" s="501"/>
      <c r="AM38" s="501"/>
      <c r="AN38" s="501"/>
      <c r="AO38" s="501"/>
      <c r="AP38" s="501"/>
      <c r="AQ38" s="501"/>
    </row>
    <row r="39" spans="1:43">
      <c r="A39" s="501"/>
      <c r="B39" s="501"/>
      <c r="C39" s="501"/>
      <c r="D39" s="501"/>
      <c r="E39" s="502"/>
      <c r="F39" s="501"/>
      <c r="G39" s="501"/>
      <c r="H39" s="501"/>
      <c r="I39" s="501"/>
      <c r="J39" s="501"/>
      <c r="K39" s="501"/>
      <c r="L39" s="501"/>
      <c r="M39" s="501"/>
      <c r="N39" s="501"/>
      <c r="O39" s="501"/>
      <c r="P39" s="501"/>
      <c r="Q39" s="501"/>
      <c r="R39" s="501"/>
      <c r="S39" s="501"/>
      <c r="T39" s="501"/>
      <c r="U39" s="501"/>
      <c r="V39" s="501"/>
      <c r="W39" s="501"/>
      <c r="X39" s="501"/>
      <c r="Y39" s="501"/>
      <c r="Z39" s="501"/>
      <c r="AA39" s="501"/>
      <c r="AB39" s="501"/>
      <c r="AC39" s="501"/>
      <c r="AD39" s="501"/>
      <c r="AE39" s="501"/>
      <c r="AF39" s="501"/>
      <c r="AG39" s="501"/>
      <c r="AH39" s="501"/>
      <c r="AI39" s="501"/>
      <c r="AJ39" s="501"/>
      <c r="AK39" s="501"/>
      <c r="AL39" s="501"/>
      <c r="AM39" s="501"/>
      <c r="AN39" s="501"/>
      <c r="AO39" s="501"/>
      <c r="AP39" s="501"/>
      <c r="AQ39" s="501"/>
    </row>
    <row r="40" spans="1:43">
      <c r="A40" s="501"/>
      <c r="B40" s="515" t="s">
        <v>416</v>
      </c>
      <c r="C40" s="518">
        <f>SUM(C41:C43)</f>
        <v>439.53677287015779</v>
      </c>
      <c r="D40" s="513" t="s">
        <v>417</v>
      </c>
      <c r="E40" s="502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  <c r="Q40" s="501"/>
      <c r="R40" s="501"/>
      <c r="S40" s="501"/>
      <c r="T40" s="501"/>
      <c r="U40" s="501"/>
      <c r="V40" s="501"/>
      <c r="W40" s="501"/>
      <c r="X40" s="501"/>
      <c r="Y40" s="501"/>
      <c r="Z40" s="501"/>
      <c r="AA40" s="501"/>
      <c r="AB40" s="501"/>
      <c r="AC40" s="501"/>
      <c r="AD40" s="501"/>
      <c r="AE40" s="501"/>
      <c r="AF40" s="501"/>
      <c r="AG40" s="501"/>
      <c r="AH40" s="501"/>
      <c r="AI40" s="501"/>
      <c r="AJ40" s="501"/>
      <c r="AK40" s="501"/>
      <c r="AL40" s="501"/>
      <c r="AM40" s="501"/>
      <c r="AN40" s="501"/>
      <c r="AO40" s="501"/>
      <c r="AP40" s="501"/>
      <c r="AQ40" s="501"/>
    </row>
    <row r="41" spans="1:43">
      <c r="A41" s="501"/>
      <c r="B41" s="505" t="s">
        <v>379</v>
      </c>
      <c r="C41" s="501">
        <f>C36*C31</f>
        <v>30.240000000000002</v>
      </c>
      <c r="D41" s="501" t="s">
        <v>417</v>
      </c>
      <c r="E41" s="502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Z41" s="501"/>
      <c r="AA41" s="501"/>
      <c r="AB41" s="501"/>
      <c r="AC41" s="501"/>
      <c r="AD41" s="501"/>
      <c r="AE41" s="501"/>
      <c r="AF41" s="501"/>
      <c r="AG41" s="501"/>
      <c r="AH41" s="501"/>
      <c r="AI41" s="501"/>
      <c r="AJ41" s="501"/>
      <c r="AK41" s="501"/>
      <c r="AL41" s="501"/>
      <c r="AM41" s="501"/>
      <c r="AN41" s="501"/>
      <c r="AO41" s="501"/>
      <c r="AP41" s="501"/>
      <c r="AQ41" s="501"/>
    </row>
    <row r="42" spans="1:43">
      <c r="A42" s="501"/>
      <c r="B42" s="505" t="s">
        <v>380</v>
      </c>
      <c r="C42" s="501">
        <f t="shared" ref="C42:C43" si="2">C37*C32</f>
        <v>393.29677287015778</v>
      </c>
      <c r="D42" s="501" t="s">
        <v>417</v>
      </c>
      <c r="E42" s="502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  <c r="Q42" s="501"/>
      <c r="R42" s="501"/>
      <c r="S42" s="501"/>
      <c r="T42" s="501"/>
      <c r="U42" s="501"/>
      <c r="V42" s="501"/>
      <c r="W42" s="501"/>
      <c r="X42" s="501"/>
      <c r="Y42" s="501"/>
      <c r="Z42" s="501"/>
      <c r="AA42" s="501"/>
      <c r="AB42" s="501"/>
      <c r="AC42" s="501"/>
      <c r="AD42" s="501"/>
      <c r="AE42" s="501"/>
      <c r="AF42" s="501"/>
      <c r="AG42" s="501"/>
      <c r="AH42" s="501"/>
      <c r="AI42" s="501"/>
      <c r="AJ42" s="501"/>
      <c r="AK42" s="501"/>
      <c r="AL42" s="501"/>
      <c r="AM42" s="501"/>
      <c r="AN42" s="501"/>
      <c r="AO42" s="501"/>
      <c r="AP42" s="501"/>
      <c r="AQ42" s="501"/>
    </row>
    <row r="43" spans="1:43">
      <c r="A43" s="501"/>
      <c r="B43" s="505" t="s">
        <v>381</v>
      </c>
      <c r="C43" s="501">
        <f t="shared" si="2"/>
        <v>16</v>
      </c>
      <c r="D43" s="501" t="s">
        <v>417</v>
      </c>
      <c r="E43" s="502"/>
      <c r="F43" s="501"/>
      <c r="G43" s="501"/>
      <c r="H43" s="501"/>
      <c r="I43" s="501"/>
      <c r="J43" s="501"/>
      <c r="K43" s="501"/>
      <c r="L43" s="501"/>
      <c r="M43" s="501"/>
      <c r="N43" s="501"/>
      <c r="O43" s="501"/>
      <c r="P43" s="501"/>
      <c r="Q43" s="501"/>
      <c r="R43" s="501"/>
      <c r="S43" s="501"/>
      <c r="T43" s="501"/>
      <c r="U43" s="501"/>
      <c r="V43" s="501"/>
      <c r="W43" s="501"/>
      <c r="X43" s="501"/>
      <c r="Y43" s="501"/>
      <c r="Z43" s="501"/>
      <c r="AA43" s="501"/>
      <c r="AB43" s="501"/>
      <c r="AC43" s="501"/>
      <c r="AD43" s="501"/>
      <c r="AE43" s="501"/>
      <c r="AF43" s="501"/>
      <c r="AG43" s="501"/>
      <c r="AH43" s="501"/>
      <c r="AI43" s="501"/>
      <c r="AJ43" s="501"/>
      <c r="AK43" s="501"/>
      <c r="AL43" s="501"/>
      <c r="AM43" s="501"/>
      <c r="AN43" s="501"/>
      <c r="AO43" s="501"/>
      <c r="AP43" s="501"/>
      <c r="AQ43" s="501"/>
    </row>
    <row r="44" spans="1:43">
      <c r="A44" s="501"/>
      <c r="B44" s="501"/>
      <c r="C44" s="501"/>
      <c r="D44" s="501"/>
      <c r="E44" s="502"/>
      <c r="F44" s="501"/>
      <c r="G44" s="501"/>
      <c r="H44" s="501"/>
      <c r="I44" s="501"/>
      <c r="J44" s="501"/>
      <c r="K44" s="501"/>
      <c r="L44" s="501"/>
      <c r="M44" s="501"/>
      <c r="N44" s="501"/>
      <c r="O44" s="501"/>
      <c r="P44" s="501"/>
      <c r="Q44" s="501"/>
      <c r="R44" s="501"/>
      <c r="S44" s="501"/>
      <c r="T44" s="501"/>
      <c r="U44" s="501"/>
      <c r="V44" s="501"/>
      <c r="W44" s="501"/>
      <c r="X44" s="501"/>
      <c r="Y44" s="501"/>
      <c r="Z44" s="501"/>
      <c r="AA44" s="501"/>
      <c r="AB44" s="501"/>
      <c r="AC44" s="501"/>
      <c r="AD44" s="501"/>
      <c r="AE44" s="501"/>
      <c r="AF44" s="501"/>
      <c r="AG44" s="501"/>
      <c r="AH44" s="501"/>
      <c r="AI44" s="501"/>
      <c r="AJ44" s="501"/>
      <c r="AK44" s="501"/>
      <c r="AL44" s="501"/>
      <c r="AM44" s="501"/>
      <c r="AN44" s="501"/>
      <c r="AO44" s="501"/>
      <c r="AP44" s="501"/>
      <c r="AQ44" s="501"/>
    </row>
    <row r="45" spans="1:43">
      <c r="A45" s="501"/>
      <c r="B45" s="515" t="s">
        <v>416</v>
      </c>
      <c r="C45" s="519">
        <f>C40/C27*365</f>
        <v>802.15461048803786</v>
      </c>
      <c r="D45" s="513" t="s">
        <v>418</v>
      </c>
      <c r="E45" s="502"/>
      <c r="F45" s="501"/>
      <c r="G45" s="501"/>
      <c r="H45" s="501"/>
      <c r="I45" s="501"/>
      <c r="J45" s="501"/>
      <c r="K45" s="501"/>
      <c r="L45" s="501"/>
      <c r="M45" s="501"/>
      <c r="N45" s="501"/>
      <c r="O45" s="501"/>
      <c r="P45" s="501"/>
      <c r="Q45" s="501"/>
      <c r="R45" s="501"/>
      <c r="S45" s="501"/>
      <c r="T45" s="501"/>
      <c r="U45" s="501"/>
      <c r="V45" s="501"/>
      <c r="W45" s="501"/>
      <c r="X45" s="501"/>
      <c r="Y45" s="501"/>
      <c r="Z45" s="501"/>
      <c r="AA45" s="501"/>
      <c r="AB45" s="501"/>
      <c r="AC45" s="501"/>
      <c r="AD45" s="501"/>
      <c r="AE45" s="501"/>
      <c r="AF45" s="501"/>
      <c r="AG45" s="501"/>
      <c r="AH45" s="501"/>
      <c r="AI45" s="501"/>
      <c r="AJ45" s="501"/>
      <c r="AK45" s="501"/>
      <c r="AL45" s="501"/>
      <c r="AM45" s="501"/>
      <c r="AN45" s="501"/>
      <c r="AO45" s="501"/>
      <c r="AP45" s="501"/>
      <c r="AQ45" s="501"/>
    </row>
    <row r="46" spans="1:43">
      <c r="A46" s="501"/>
      <c r="B46" s="505" t="s">
        <v>379</v>
      </c>
      <c r="C46" s="516">
        <f>C41/$C$27*365</f>
        <v>55.188000000000002</v>
      </c>
      <c r="D46" s="501" t="s">
        <v>418</v>
      </c>
      <c r="E46" s="502"/>
      <c r="F46" s="501"/>
      <c r="G46" s="501"/>
      <c r="H46" s="501"/>
      <c r="I46" s="501"/>
      <c r="J46" s="501"/>
      <c r="K46" s="501"/>
      <c r="L46" s="501"/>
      <c r="M46" s="501"/>
      <c r="N46" s="501"/>
      <c r="O46" s="501"/>
      <c r="P46" s="501"/>
      <c r="Q46" s="501"/>
      <c r="R46" s="501"/>
      <c r="S46" s="501"/>
      <c r="T46" s="501"/>
      <c r="U46" s="501"/>
      <c r="V46" s="501"/>
      <c r="W46" s="501"/>
      <c r="X46" s="501"/>
      <c r="Y46" s="501"/>
      <c r="Z46" s="501"/>
      <c r="AA46" s="501"/>
      <c r="AB46" s="501"/>
      <c r="AC46" s="501"/>
      <c r="AD46" s="501"/>
      <c r="AE46" s="501"/>
      <c r="AF46" s="501"/>
      <c r="AG46" s="501"/>
      <c r="AH46" s="501"/>
      <c r="AI46" s="501"/>
      <c r="AJ46" s="501"/>
      <c r="AK46" s="501"/>
      <c r="AL46" s="501"/>
      <c r="AM46" s="501"/>
      <c r="AN46" s="501"/>
      <c r="AO46" s="501"/>
      <c r="AP46" s="501"/>
      <c r="AQ46" s="501"/>
    </row>
    <row r="47" spans="1:43">
      <c r="A47" s="501"/>
      <c r="B47" s="505" t="s">
        <v>380</v>
      </c>
      <c r="C47" s="516">
        <f t="shared" ref="C47:C48" si="3">C42/$C$27*365</f>
        <v>717.76661048803794</v>
      </c>
      <c r="D47" s="501" t="s">
        <v>418</v>
      </c>
      <c r="E47" s="502"/>
      <c r="F47" s="501"/>
      <c r="G47" s="501"/>
      <c r="H47" s="501"/>
      <c r="I47" s="501"/>
      <c r="J47" s="501"/>
      <c r="K47" s="501"/>
      <c r="L47" s="501"/>
      <c r="M47" s="501"/>
      <c r="N47" s="501"/>
      <c r="O47" s="501"/>
      <c r="P47" s="501"/>
      <c r="Q47" s="501"/>
      <c r="R47" s="501"/>
      <c r="S47" s="501"/>
      <c r="T47" s="501"/>
      <c r="U47" s="501"/>
      <c r="V47" s="501"/>
      <c r="W47" s="501"/>
      <c r="X47" s="501"/>
      <c r="Y47" s="501"/>
      <c r="Z47" s="501"/>
      <c r="AA47" s="501"/>
      <c r="AB47" s="501"/>
      <c r="AC47" s="501"/>
      <c r="AD47" s="501"/>
      <c r="AE47" s="501"/>
      <c r="AF47" s="501"/>
      <c r="AG47" s="501"/>
      <c r="AH47" s="501"/>
      <c r="AI47" s="501"/>
      <c r="AJ47" s="501"/>
      <c r="AK47" s="501"/>
      <c r="AL47" s="501"/>
      <c r="AM47" s="501"/>
      <c r="AN47" s="501"/>
      <c r="AO47" s="501"/>
      <c r="AP47" s="501"/>
      <c r="AQ47" s="501"/>
    </row>
    <row r="48" spans="1:43">
      <c r="A48" s="501"/>
      <c r="B48" s="505" t="s">
        <v>381</v>
      </c>
      <c r="C48" s="516">
        <f t="shared" si="3"/>
        <v>29.2</v>
      </c>
      <c r="D48" s="501" t="s">
        <v>418</v>
      </c>
      <c r="E48" s="502"/>
      <c r="F48" s="501"/>
      <c r="G48" s="501"/>
      <c r="H48" s="501"/>
      <c r="I48" s="501"/>
      <c r="J48" s="501"/>
      <c r="K48" s="501"/>
      <c r="L48" s="501"/>
      <c r="M48" s="501"/>
      <c r="N48" s="501"/>
      <c r="O48" s="501"/>
      <c r="P48" s="501"/>
      <c r="Q48" s="501"/>
      <c r="R48" s="501"/>
      <c r="S48" s="501"/>
      <c r="T48" s="501"/>
      <c r="U48" s="501"/>
      <c r="V48" s="501"/>
      <c r="W48" s="501"/>
      <c r="X48" s="501"/>
      <c r="Y48" s="501"/>
      <c r="Z48" s="501"/>
      <c r="AA48" s="501"/>
      <c r="AB48" s="501"/>
      <c r="AC48" s="501"/>
      <c r="AD48" s="501"/>
      <c r="AE48" s="501"/>
      <c r="AF48" s="501"/>
      <c r="AG48" s="501"/>
      <c r="AH48" s="501"/>
      <c r="AI48" s="501"/>
      <c r="AJ48" s="501"/>
      <c r="AK48" s="501"/>
      <c r="AL48" s="501"/>
      <c r="AM48" s="501"/>
      <c r="AN48" s="501"/>
      <c r="AO48" s="501"/>
      <c r="AP48" s="501"/>
      <c r="AQ48" s="501"/>
    </row>
    <row r="49" spans="1:43">
      <c r="A49" s="501"/>
      <c r="B49" s="501"/>
      <c r="C49" s="501"/>
      <c r="D49" s="501"/>
      <c r="E49" s="502"/>
      <c r="F49" s="501"/>
      <c r="G49" s="501"/>
      <c r="H49" s="501"/>
      <c r="I49" s="501"/>
      <c r="J49" s="501"/>
      <c r="K49" s="501"/>
      <c r="L49" s="501"/>
      <c r="M49" s="501"/>
      <c r="N49" s="501"/>
      <c r="O49" s="501"/>
      <c r="P49" s="501"/>
      <c r="Q49" s="501"/>
      <c r="R49" s="501"/>
      <c r="S49" s="501"/>
      <c r="T49" s="501"/>
      <c r="U49" s="501"/>
      <c r="V49" s="501"/>
      <c r="W49" s="501"/>
      <c r="X49" s="501"/>
      <c r="Y49" s="501"/>
      <c r="Z49" s="501"/>
      <c r="AA49" s="501"/>
      <c r="AB49" s="501"/>
      <c r="AC49" s="501"/>
      <c r="AD49" s="501"/>
      <c r="AE49" s="501"/>
      <c r="AF49" s="501"/>
      <c r="AG49" s="501"/>
      <c r="AH49" s="501"/>
      <c r="AI49" s="501"/>
      <c r="AJ49" s="501"/>
      <c r="AK49" s="501"/>
      <c r="AL49" s="501"/>
      <c r="AM49" s="501"/>
      <c r="AN49" s="501"/>
      <c r="AO49" s="501"/>
      <c r="AP49" s="501"/>
      <c r="AQ49" s="501"/>
    </row>
    <row r="50" spans="1:43">
      <c r="A50" s="501"/>
      <c r="B50" s="515" t="s">
        <v>419</v>
      </c>
      <c r="C50" s="520">
        <f>SUM(C51:C53)</f>
        <v>68455.874459049155</v>
      </c>
      <c r="D50" s="513" t="s">
        <v>420</v>
      </c>
      <c r="E50" s="502"/>
      <c r="F50" s="501"/>
      <c r="G50" s="501"/>
      <c r="H50" s="501"/>
      <c r="I50" s="501"/>
      <c r="J50" s="501"/>
      <c r="K50" s="501"/>
      <c r="L50" s="501"/>
      <c r="M50" s="501"/>
      <c r="N50" s="501"/>
      <c r="O50" s="501"/>
      <c r="P50" s="501"/>
      <c r="Q50" s="501"/>
      <c r="R50" s="501"/>
      <c r="S50" s="501"/>
      <c r="T50" s="501"/>
      <c r="U50" s="501"/>
      <c r="V50" s="501"/>
      <c r="W50" s="501"/>
      <c r="X50" s="501"/>
      <c r="Y50" s="501"/>
      <c r="Z50" s="501"/>
      <c r="AA50" s="501"/>
      <c r="AB50" s="501"/>
      <c r="AC50" s="501"/>
      <c r="AD50" s="501"/>
      <c r="AE50" s="501"/>
      <c r="AF50" s="501"/>
      <c r="AG50" s="501"/>
      <c r="AH50" s="501"/>
      <c r="AI50" s="501"/>
      <c r="AJ50" s="501"/>
      <c r="AK50" s="501"/>
      <c r="AL50" s="501"/>
      <c r="AM50" s="501"/>
      <c r="AN50" s="501"/>
      <c r="AO50" s="501"/>
      <c r="AP50" s="501"/>
      <c r="AQ50" s="501"/>
    </row>
    <row r="51" spans="1:43">
      <c r="A51" s="501"/>
      <c r="B51" s="505" t="s">
        <v>379</v>
      </c>
      <c r="C51" s="510">
        <f>$C$26*C46</f>
        <v>4709.7439200000008</v>
      </c>
      <c r="D51" s="501" t="s">
        <v>420</v>
      </c>
      <c r="E51" s="521">
        <f>C51/$C$50</f>
        <v>6.8799704294441627E-2</v>
      </c>
      <c r="F51" s="501"/>
      <c r="G51" s="501"/>
      <c r="H51" s="501"/>
      <c r="I51" s="501"/>
      <c r="J51" s="501"/>
      <c r="K51" s="501"/>
      <c r="L51" s="501"/>
      <c r="M51" s="501"/>
      <c r="N51" s="501"/>
      <c r="O51" s="501"/>
      <c r="P51" s="501"/>
      <c r="Q51" s="501"/>
      <c r="R51" s="501"/>
      <c r="S51" s="501"/>
      <c r="T51" s="501"/>
      <c r="U51" s="501"/>
      <c r="V51" s="501"/>
      <c r="W51" s="501"/>
      <c r="X51" s="501"/>
      <c r="Y51" s="501"/>
      <c r="Z51" s="501"/>
      <c r="AA51" s="501"/>
      <c r="AB51" s="501"/>
      <c r="AC51" s="501"/>
      <c r="AD51" s="501"/>
      <c r="AE51" s="501"/>
      <c r="AF51" s="501"/>
      <c r="AG51" s="501"/>
      <c r="AH51" s="501"/>
      <c r="AI51" s="501"/>
      <c r="AJ51" s="501"/>
      <c r="AK51" s="501"/>
      <c r="AL51" s="501"/>
      <c r="AM51" s="501"/>
      <c r="AN51" s="501"/>
      <c r="AO51" s="501"/>
      <c r="AP51" s="501"/>
      <c r="AQ51" s="501"/>
    </row>
    <row r="52" spans="1:43">
      <c r="A52" s="501"/>
      <c r="B52" s="505" t="s">
        <v>380</v>
      </c>
      <c r="C52" s="510">
        <f t="shared" ref="C52:C53" si="4">$C$26*C47</f>
        <v>61254.202539049162</v>
      </c>
      <c r="D52" s="501" t="s">
        <v>420</v>
      </c>
      <c r="E52" s="521">
        <f t="shared" ref="E52:E53" si="5">C52/$C$50</f>
        <v>0.89479833576140944</v>
      </c>
      <c r="F52" s="501"/>
      <c r="G52" s="501"/>
      <c r="H52" s="501"/>
      <c r="I52" s="501"/>
      <c r="J52" s="501"/>
      <c r="K52" s="501"/>
      <c r="L52" s="501"/>
      <c r="M52" s="501"/>
      <c r="N52" s="501"/>
      <c r="O52" s="501"/>
      <c r="P52" s="501"/>
      <c r="Q52" s="501"/>
      <c r="R52" s="501"/>
      <c r="S52" s="501"/>
      <c r="T52" s="501"/>
      <c r="U52" s="501"/>
      <c r="V52" s="501"/>
      <c r="W52" s="501"/>
      <c r="X52" s="501"/>
      <c r="Y52" s="501"/>
      <c r="Z52" s="501"/>
      <c r="AA52" s="501"/>
      <c r="AB52" s="501"/>
      <c r="AC52" s="501"/>
      <c r="AD52" s="501"/>
      <c r="AE52" s="501"/>
      <c r="AF52" s="501"/>
      <c r="AG52" s="501"/>
      <c r="AH52" s="501"/>
      <c r="AI52" s="501"/>
      <c r="AJ52" s="501"/>
      <c r="AK52" s="501"/>
      <c r="AL52" s="501"/>
      <c r="AM52" s="501"/>
      <c r="AN52" s="501"/>
      <c r="AO52" s="501"/>
      <c r="AP52" s="501"/>
      <c r="AQ52" s="501"/>
    </row>
    <row r="53" spans="1:43">
      <c r="A53" s="501"/>
      <c r="B53" s="505" t="s">
        <v>381</v>
      </c>
      <c r="C53" s="510">
        <f t="shared" si="4"/>
        <v>2491.9279999999999</v>
      </c>
      <c r="D53" s="501" t="s">
        <v>420</v>
      </c>
      <c r="E53" s="521">
        <f t="shared" si="5"/>
        <v>3.6401959944149E-2</v>
      </c>
      <c r="F53" s="501"/>
      <c r="G53" s="501"/>
      <c r="H53" s="501"/>
      <c r="I53" s="501"/>
      <c r="J53" s="501"/>
      <c r="K53" s="501"/>
      <c r="L53" s="501"/>
      <c r="M53" s="501"/>
      <c r="N53" s="501"/>
      <c r="O53" s="501"/>
      <c r="P53" s="501"/>
      <c r="Q53" s="501"/>
      <c r="R53" s="501"/>
      <c r="S53" s="501"/>
      <c r="T53" s="501"/>
      <c r="U53" s="501"/>
      <c r="V53" s="501"/>
      <c r="W53" s="501"/>
      <c r="X53" s="501"/>
      <c r="Y53" s="501"/>
      <c r="Z53" s="501"/>
      <c r="AA53" s="501"/>
      <c r="AB53" s="501"/>
      <c r="AC53" s="501"/>
      <c r="AD53" s="501"/>
      <c r="AE53" s="501"/>
      <c r="AF53" s="501"/>
      <c r="AG53" s="501"/>
      <c r="AH53" s="501"/>
      <c r="AI53" s="501"/>
      <c r="AJ53" s="501"/>
      <c r="AK53" s="501"/>
      <c r="AL53" s="501"/>
      <c r="AM53" s="501"/>
      <c r="AN53" s="501"/>
      <c r="AO53" s="501"/>
      <c r="AP53" s="501"/>
      <c r="AQ53" s="501"/>
    </row>
    <row r="54" spans="1:43">
      <c r="A54" s="501"/>
      <c r="B54" s="501"/>
      <c r="C54" s="501"/>
      <c r="D54" s="501"/>
      <c r="E54" s="502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Z54" s="501"/>
      <c r="AA54" s="501"/>
      <c r="AB54" s="501"/>
      <c r="AC54" s="501"/>
      <c r="AD54" s="501"/>
      <c r="AE54" s="501"/>
      <c r="AF54" s="501"/>
      <c r="AG54" s="501"/>
      <c r="AH54" s="501"/>
      <c r="AI54" s="501"/>
      <c r="AJ54" s="501"/>
      <c r="AK54" s="501"/>
      <c r="AL54" s="501"/>
      <c r="AM54" s="501"/>
      <c r="AN54" s="501"/>
      <c r="AO54" s="501"/>
      <c r="AP54" s="501"/>
      <c r="AQ54" s="501"/>
    </row>
  </sheetData>
  <sheetProtection password="C643" sheet="1" objects="1" scenarios="1"/>
  <hyperlinks>
    <hyperlink ref="E30" r:id="rId1" display="https://antigo.mdr.gov.br/images/stories/ArquivosSNSA/Arquivos_PDF/Snis/RESIDUOS_SOLIDOS/DIAGNOSTICO_TEMATICO_VISAO_GERAL_RS_SNIS_2023_ATUALIZADO.pdf" xr:uid="{00000000-0004-0000-0C00-000000000000}"/>
  </hyperlink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46"/>
  <sheetViews>
    <sheetView zoomScale="70" zoomScaleNormal="100" workbookViewId="0">
      <pane ySplit="3" topLeftCell="A4" activePane="bottomLeft" state="frozen"/>
      <selection pane="bottomLeft" activeCell="G68" sqref="G68"/>
      <selection activeCell="G68" sqref="G68"/>
    </sheetView>
  </sheetViews>
  <sheetFormatPr defaultColWidth="14.42578125" defaultRowHeight="15" customHeight="1"/>
  <cols>
    <col min="1" max="1" width="44.5703125" bestFit="1" customWidth="1"/>
    <col min="2" max="2" width="6.28515625" bestFit="1" customWidth="1"/>
    <col min="3" max="3" width="16.85546875" bestFit="1" customWidth="1"/>
    <col min="4" max="4" width="2.85546875" bestFit="1" customWidth="1"/>
    <col min="5" max="40" width="21.5703125" bestFit="1" customWidth="1"/>
  </cols>
  <sheetData>
    <row r="1" spans="1:40" s="148" customFormat="1" ht="13.5" customHeight="1">
      <c r="A1" s="146" t="s">
        <v>421</v>
      </c>
      <c r="B1" s="156"/>
      <c r="C1" s="147"/>
      <c r="D1" s="146"/>
      <c r="E1" s="146">
        <f>DRE!E1</f>
        <v>2025</v>
      </c>
      <c r="F1" s="146">
        <f>DRE!F1</f>
        <v>2026</v>
      </c>
      <c r="G1" s="146">
        <f>DRE!G1</f>
        <v>2027</v>
      </c>
      <c r="H1" s="146">
        <f>DRE!H1</f>
        <v>2028</v>
      </c>
      <c r="I1" s="146">
        <f>DRE!I1</f>
        <v>2029</v>
      </c>
      <c r="J1" s="146">
        <f>DRE!J1</f>
        <v>2030</v>
      </c>
      <c r="K1" s="146">
        <f>DRE!K1</f>
        <v>2031</v>
      </c>
      <c r="L1" s="146">
        <f>DRE!L1</f>
        <v>2032</v>
      </c>
      <c r="M1" s="146">
        <f>DRE!M1</f>
        <v>2033</v>
      </c>
      <c r="N1" s="146">
        <f>DRE!N1</f>
        <v>2034</v>
      </c>
      <c r="O1" s="146">
        <f>DRE!O1</f>
        <v>2035</v>
      </c>
      <c r="P1" s="146">
        <f>DRE!P1</f>
        <v>2036</v>
      </c>
      <c r="Q1" s="146">
        <f>DRE!Q1</f>
        <v>2037</v>
      </c>
      <c r="R1" s="146">
        <f>DRE!R1</f>
        <v>2038</v>
      </c>
      <c r="S1" s="146">
        <f>DRE!S1</f>
        <v>2039</v>
      </c>
      <c r="T1" s="146">
        <f>DRE!T1</f>
        <v>2040</v>
      </c>
      <c r="U1" s="146">
        <f>DRE!U1</f>
        <v>2041</v>
      </c>
      <c r="V1" s="146">
        <f>DRE!V1</f>
        <v>2042</v>
      </c>
      <c r="W1" s="146">
        <f>DRE!W1</f>
        <v>2043</v>
      </c>
      <c r="X1" s="146">
        <f>DRE!X1</f>
        <v>2044</v>
      </c>
      <c r="Y1" s="146">
        <f>DRE!Y1</f>
        <v>2045</v>
      </c>
      <c r="Z1" s="146">
        <f>DRE!Z1</f>
        <v>2046</v>
      </c>
      <c r="AA1" s="146">
        <f>DRE!AA1</f>
        <v>2047</v>
      </c>
      <c r="AB1" s="146">
        <f>DRE!AB1</f>
        <v>2048</v>
      </c>
      <c r="AC1" s="146">
        <f>DRE!AC1</f>
        <v>2049</v>
      </c>
      <c r="AD1" s="146">
        <f>DRE!AD1</f>
        <v>2050</v>
      </c>
      <c r="AE1" s="146">
        <f>DRE!AE1</f>
        <v>2051</v>
      </c>
      <c r="AF1" s="146">
        <f>DRE!AF1</f>
        <v>2052</v>
      </c>
      <c r="AG1" s="146">
        <f>DRE!AG1</f>
        <v>2053</v>
      </c>
      <c r="AH1" s="146">
        <f>DRE!AH1</f>
        <v>2054</v>
      </c>
      <c r="AI1" s="146">
        <f>DRE!AI1</f>
        <v>2055</v>
      </c>
      <c r="AJ1" s="146">
        <f>DRE!AJ1</f>
        <v>2056</v>
      </c>
      <c r="AK1" s="146">
        <f>DRE!AK1</f>
        <v>2057</v>
      </c>
      <c r="AL1" s="146">
        <f>DRE!AL1</f>
        <v>2058</v>
      </c>
      <c r="AM1" s="146">
        <f>DRE!AM1</f>
        <v>2059</v>
      </c>
      <c r="AN1" s="146">
        <f>DRE!AN1</f>
        <v>2060</v>
      </c>
    </row>
    <row r="2" spans="1:40" s="151" customFormat="1" ht="12.75" customHeight="1">
      <c r="A2" s="149" t="s">
        <v>107</v>
      </c>
      <c r="B2" s="149"/>
      <c r="C2" s="149"/>
      <c r="D2" s="150"/>
      <c r="E2" s="149">
        <f>DRE!E2</f>
        <v>1</v>
      </c>
      <c r="F2" s="149">
        <f>DRE!F2</f>
        <v>2</v>
      </c>
      <c r="G2" s="149">
        <f>DRE!G2</f>
        <v>3</v>
      </c>
      <c r="H2" s="149">
        <f>DRE!H2</f>
        <v>4</v>
      </c>
      <c r="I2" s="149">
        <f>DRE!I2</f>
        <v>5</v>
      </c>
      <c r="J2" s="149">
        <f>DRE!J2</f>
        <v>6</v>
      </c>
      <c r="K2" s="149">
        <f>DRE!K2</f>
        <v>7</v>
      </c>
      <c r="L2" s="149">
        <f>DRE!L2</f>
        <v>8</v>
      </c>
      <c r="M2" s="149">
        <f>DRE!M2</f>
        <v>9</v>
      </c>
      <c r="N2" s="149">
        <f>DRE!N2</f>
        <v>10</v>
      </c>
      <c r="O2" s="149">
        <f>DRE!O2</f>
        <v>11</v>
      </c>
      <c r="P2" s="149">
        <f>DRE!P2</f>
        <v>12</v>
      </c>
      <c r="Q2" s="149">
        <f>DRE!Q2</f>
        <v>13</v>
      </c>
      <c r="R2" s="149">
        <f>DRE!R2</f>
        <v>14</v>
      </c>
      <c r="S2" s="149">
        <f>DRE!S2</f>
        <v>15</v>
      </c>
      <c r="T2" s="149">
        <f>DRE!T2</f>
        <v>16</v>
      </c>
      <c r="U2" s="149">
        <f>DRE!U2</f>
        <v>17</v>
      </c>
      <c r="V2" s="149">
        <f>DRE!V2</f>
        <v>18</v>
      </c>
      <c r="W2" s="149">
        <f>DRE!W2</f>
        <v>19</v>
      </c>
      <c r="X2" s="149">
        <f>DRE!X2</f>
        <v>20</v>
      </c>
      <c r="Y2" s="149">
        <f>DRE!Y2</f>
        <v>21</v>
      </c>
      <c r="Z2" s="149">
        <f>DRE!Z2</f>
        <v>22</v>
      </c>
      <c r="AA2" s="149">
        <f>DRE!AA2</f>
        <v>23</v>
      </c>
      <c r="AB2" s="149">
        <f>DRE!AB2</f>
        <v>24</v>
      </c>
      <c r="AC2" s="149">
        <f>DRE!AC2</f>
        <v>25</v>
      </c>
      <c r="AD2" s="149">
        <f>DRE!AD2</f>
        <v>26</v>
      </c>
      <c r="AE2" s="149">
        <f>DRE!AE2</f>
        <v>27</v>
      </c>
      <c r="AF2" s="149">
        <f>DRE!AF2</f>
        <v>28</v>
      </c>
      <c r="AG2" s="149">
        <f>DRE!AG2</f>
        <v>29</v>
      </c>
      <c r="AH2" s="149">
        <f>DRE!AH2</f>
        <v>30</v>
      </c>
      <c r="AI2" s="149">
        <f>DRE!AI2</f>
        <v>31</v>
      </c>
      <c r="AJ2" s="149">
        <f>DRE!AJ2</f>
        <v>32</v>
      </c>
      <c r="AK2" s="149">
        <f>DRE!AK2</f>
        <v>33</v>
      </c>
      <c r="AL2" s="149">
        <f>DRE!AL2</f>
        <v>34</v>
      </c>
      <c r="AM2" s="149">
        <f>DRE!AM2</f>
        <v>35</v>
      </c>
      <c r="AN2" s="149">
        <f>DRE!AN2</f>
        <v>36</v>
      </c>
    </row>
    <row r="3" spans="1:40" s="151" customFormat="1" ht="12.75" customHeight="1">
      <c r="A3" s="149" t="s">
        <v>108</v>
      </c>
      <c r="B3" s="149"/>
      <c r="C3" s="149"/>
      <c r="D3" s="152"/>
      <c r="E3" s="152">
        <f>DRE!E3</f>
        <v>1</v>
      </c>
      <c r="F3" s="152">
        <f>DRE!F3</f>
        <v>1</v>
      </c>
      <c r="G3" s="152">
        <f>DRE!G3</f>
        <v>1</v>
      </c>
      <c r="H3" s="152">
        <f>DRE!H3</f>
        <v>1</v>
      </c>
      <c r="I3" s="152">
        <f>DRE!I3</f>
        <v>1</v>
      </c>
      <c r="J3" s="152">
        <f>DRE!J3</f>
        <v>1</v>
      </c>
      <c r="K3" s="152">
        <f>DRE!K3</f>
        <v>1</v>
      </c>
      <c r="L3" s="152">
        <f>DRE!L3</f>
        <v>1</v>
      </c>
      <c r="M3" s="152">
        <f>DRE!M3</f>
        <v>1</v>
      </c>
      <c r="N3" s="152">
        <f>DRE!N3</f>
        <v>1</v>
      </c>
      <c r="O3" s="152">
        <f>DRE!O3</f>
        <v>1</v>
      </c>
      <c r="P3" s="152">
        <f>DRE!P3</f>
        <v>1</v>
      </c>
      <c r="Q3" s="152">
        <f>DRE!Q3</f>
        <v>1</v>
      </c>
      <c r="R3" s="152">
        <f>DRE!R3</f>
        <v>1</v>
      </c>
      <c r="S3" s="152">
        <f>DRE!S3</f>
        <v>1</v>
      </c>
      <c r="T3" s="152">
        <f>DRE!T3</f>
        <v>1</v>
      </c>
      <c r="U3" s="152">
        <f>DRE!U3</f>
        <v>1</v>
      </c>
      <c r="V3" s="152">
        <f>DRE!V3</f>
        <v>1</v>
      </c>
      <c r="W3" s="152">
        <f>DRE!W3</f>
        <v>1</v>
      </c>
      <c r="X3" s="152">
        <f>DRE!X3</f>
        <v>1</v>
      </c>
      <c r="Y3" s="152">
        <f>DRE!Y3</f>
        <v>1</v>
      </c>
      <c r="Z3" s="152">
        <f>DRE!Z3</f>
        <v>1</v>
      </c>
      <c r="AA3" s="152">
        <f>DRE!AA3</f>
        <v>1</v>
      </c>
      <c r="AB3" s="152">
        <f>DRE!AB3</f>
        <v>1</v>
      </c>
      <c r="AC3" s="152">
        <f>DRE!AC3</f>
        <v>1</v>
      </c>
      <c r="AD3" s="152">
        <f>DRE!AD3</f>
        <v>1</v>
      </c>
      <c r="AE3" s="152">
        <f>DRE!AE3</f>
        <v>1</v>
      </c>
      <c r="AF3" s="152">
        <f>DRE!AF3</f>
        <v>1</v>
      </c>
      <c r="AG3" s="152">
        <f>DRE!AG3</f>
        <v>1</v>
      </c>
      <c r="AH3" s="152">
        <f>DRE!AH3</f>
        <v>1</v>
      </c>
      <c r="AI3" s="152">
        <f>DRE!AI3</f>
        <v>0</v>
      </c>
      <c r="AJ3" s="152">
        <f>DRE!AJ3</f>
        <v>0</v>
      </c>
      <c r="AK3" s="152">
        <f>DRE!AK3</f>
        <v>0</v>
      </c>
      <c r="AL3" s="152">
        <f>DRE!AL3</f>
        <v>0</v>
      </c>
      <c r="AM3" s="152">
        <f>DRE!AM3</f>
        <v>0</v>
      </c>
      <c r="AN3" s="152">
        <f>DRE!AN3</f>
        <v>0</v>
      </c>
    </row>
    <row r="4" spans="1:40" ht="12.75" customHeight="1">
      <c r="A4" s="56"/>
      <c r="B4" s="56"/>
      <c r="C4" s="56"/>
      <c r="D4" s="58"/>
      <c r="E4" s="58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</row>
    <row r="5" spans="1:40" ht="12.75" customHeight="1">
      <c r="A5" s="74" t="s">
        <v>422</v>
      </c>
      <c r="B5" s="56"/>
      <c r="C5" s="56"/>
      <c r="D5" s="58"/>
      <c r="E5" s="58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</row>
    <row r="6" spans="1:40" ht="12.75" customHeight="1">
      <c r="A6" s="56"/>
      <c r="B6" s="56"/>
      <c r="C6" s="56"/>
      <c r="D6" s="58"/>
      <c r="E6" s="58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</row>
    <row r="7" spans="1:40" ht="12" customHeight="1">
      <c r="A7" s="64" t="s">
        <v>423</v>
      </c>
      <c r="B7" s="64"/>
      <c r="C7" s="64"/>
      <c r="D7" s="82"/>
      <c r="E7" s="82" t="str">
        <f>Painel!$C$8</f>
        <v>Lucro Presumido</v>
      </c>
      <c r="F7" s="82" t="str">
        <f>Painel!$C$8</f>
        <v>Lucro Presumido</v>
      </c>
      <c r="G7" s="82" t="str">
        <f>Painel!$C$8</f>
        <v>Lucro Presumido</v>
      </c>
      <c r="H7" s="82" t="str">
        <f>Painel!$C$8</f>
        <v>Lucro Presumido</v>
      </c>
      <c r="I7" s="82" t="str">
        <f>Painel!$C$8</f>
        <v>Lucro Presumido</v>
      </c>
      <c r="J7" s="82" t="str">
        <f>Painel!$C$8</f>
        <v>Lucro Presumido</v>
      </c>
      <c r="K7" s="82" t="str">
        <f>Painel!$C$8</f>
        <v>Lucro Presumido</v>
      </c>
      <c r="L7" s="82" t="str">
        <f>Painel!$C$8</f>
        <v>Lucro Presumido</v>
      </c>
      <c r="M7" s="82" t="str">
        <f>Painel!$C$8</f>
        <v>Lucro Presumido</v>
      </c>
      <c r="N7" s="82" t="str">
        <f>Painel!$C$8</f>
        <v>Lucro Presumido</v>
      </c>
      <c r="O7" s="82" t="str">
        <f>Painel!$C$8</f>
        <v>Lucro Presumido</v>
      </c>
      <c r="P7" s="82" t="str">
        <f>Painel!$C$8</f>
        <v>Lucro Presumido</v>
      </c>
      <c r="Q7" s="82" t="str">
        <f>Painel!$C$8</f>
        <v>Lucro Presumido</v>
      </c>
      <c r="R7" s="82" t="str">
        <f>Painel!$C$8</f>
        <v>Lucro Presumido</v>
      </c>
      <c r="S7" s="82" t="str">
        <f>Painel!$C$8</f>
        <v>Lucro Presumido</v>
      </c>
      <c r="T7" s="82" t="str">
        <f>Painel!$C$8</f>
        <v>Lucro Presumido</v>
      </c>
      <c r="U7" s="82" t="str">
        <f>Painel!$C$8</f>
        <v>Lucro Presumido</v>
      </c>
      <c r="V7" s="82" t="str">
        <f>Painel!$C$8</f>
        <v>Lucro Presumido</v>
      </c>
      <c r="W7" s="82" t="str">
        <f>Painel!$C$8</f>
        <v>Lucro Presumido</v>
      </c>
      <c r="X7" s="82" t="str">
        <f>Painel!$C$8</f>
        <v>Lucro Presumido</v>
      </c>
      <c r="Y7" s="82" t="str">
        <f>Painel!$C$8</f>
        <v>Lucro Presumido</v>
      </c>
      <c r="Z7" s="82" t="str">
        <f>Painel!$C$8</f>
        <v>Lucro Presumido</v>
      </c>
      <c r="AA7" s="82" t="str">
        <f>Painel!$C$8</f>
        <v>Lucro Presumido</v>
      </c>
      <c r="AB7" s="82" t="str">
        <f>Painel!$C$8</f>
        <v>Lucro Presumido</v>
      </c>
      <c r="AC7" s="82" t="str">
        <f>Painel!$C$8</f>
        <v>Lucro Presumido</v>
      </c>
      <c r="AD7" s="82" t="str">
        <f>Painel!$C$8</f>
        <v>Lucro Presumido</v>
      </c>
      <c r="AE7" s="82" t="str">
        <f>Painel!$C$8</f>
        <v>Lucro Presumido</v>
      </c>
      <c r="AF7" s="82" t="str">
        <f>Painel!$C$8</f>
        <v>Lucro Presumido</v>
      </c>
      <c r="AG7" s="82" t="str">
        <f>Painel!$C$8</f>
        <v>Lucro Presumido</v>
      </c>
      <c r="AH7" s="82" t="str">
        <f>Painel!$C$8</f>
        <v>Lucro Presumido</v>
      </c>
      <c r="AI7" s="82" t="str">
        <f>Painel!$C$8</f>
        <v>Lucro Presumido</v>
      </c>
      <c r="AJ7" s="82" t="str">
        <f>Painel!$C$8</f>
        <v>Lucro Presumido</v>
      </c>
      <c r="AK7" s="82" t="str">
        <f>Painel!$C$8</f>
        <v>Lucro Presumido</v>
      </c>
      <c r="AL7" s="82" t="str">
        <f>Painel!$C$8</f>
        <v>Lucro Presumido</v>
      </c>
      <c r="AM7" s="82" t="str">
        <f>Painel!$C$8</f>
        <v>Lucro Presumido</v>
      </c>
      <c r="AN7" s="82" t="str">
        <f>Painel!$C$8</f>
        <v>Lucro Presumido</v>
      </c>
    </row>
    <row r="8" spans="1:40" ht="12.75" customHeight="1">
      <c r="A8" s="56"/>
      <c r="B8" s="56"/>
      <c r="C8" s="56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</row>
    <row r="9" spans="1:40" ht="12.75" customHeight="1">
      <c r="A9" s="68" t="s">
        <v>424</v>
      </c>
      <c r="B9" s="80"/>
      <c r="C9" s="80"/>
      <c r="D9" s="83"/>
      <c r="E9" s="84">
        <f t="shared" ref="E9:AH9" si="0">SUM(E10:E12)</f>
        <v>-487.07687162478447</v>
      </c>
      <c r="F9" s="84">
        <f t="shared" si="0"/>
        <v>-857.53409610935637</v>
      </c>
      <c r="G9" s="84">
        <f t="shared" si="0"/>
        <v>-1146.1792724558059</v>
      </c>
      <c r="H9" s="84">
        <f t="shared" si="0"/>
        <v>-1148.9892717231246</v>
      </c>
      <c r="I9" s="84">
        <f t="shared" si="0"/>
        <v>-1151.8088249879518</v>
      </c>
      <c r="J9" s="84">
        <f t="shared" si="0"/>
        <v>-1154.6379647338795</v>
      </c>
      <c r="K9" s="84">
        <f t="shared" si="0"/>
        <v>-1157.4767235549434</v>
      </c>
      <c r="L9" s="84">
        <f t="shared" si="0"/>
        <v>-1160.325134155999</v>
      </c>
      <c r="M9" s="84">
        <f t="shared" si="0"/>
        <v>-1163.1832293530979</v>
      </c>
      <c r="N9" s="84">
        <f t="shared" si="0"/>
        <v>-1166.0510420738672</v>
      </c>
      <c r="O9" s="84">
        <f t="shared" si="0"/>
        <v>-1168.9286053578871</v>
      </c>
      <c r="P9" s="84">
        <f t="shared" si="0"/>
        <v>-1171.8159523570725</v>
      </c>
      <c r="Q9" s="84">
        <f t="shared" si="0"/>
        <v>-1174.7131163360552</v>
      </c>
      <c r="R9" s="84">
        <f t="shared" si="0"/>
        <v>-1177.6201306725668</v>
      </c>
      <c r="S9" s="84">
        <f t="shared" si="0"/>
        <v>-1180.537028857822</v>
      </c>
      <c r="T9" s="84">
        <f t="shared" si="0"/>
        <v>-1183.4638444969071</v>
      </c>
      <c r="U9" s="84">
        <f t="shared" si="0"/>
        <v>-1186.4006113091655</v>
      </c>
      <c r="V9" s="84">
        <f t="shared" si="0"/>
        <v>-1189.3473631285854</v>
      </c>
      <c r="W9" s="84">
        <f t="shared" si="0"/>
        <v>-1192.3041339041913</v>
      </c>
      <c r="X9" s="84">
        <f t="shared" si="0"/>
        <v>-1195.2709577004339</v>
      </c>
      <c r="Y9" s="84">
        <f t="shared" si="0"/>
        <v>-1198.2478686975844</v>
      </c>
      <c r="Z9" s="84">
        <f t="shared" si="0"/>
        <v>-1201.2349011921247</v>
      </c>
      <c r="AA9" s="84">
        <f t="shared" si="0"/>
        <v>-1204.2320895971466</v>
      </c>
      <c r="AB9" s="84">
        <f t="shared" si="0"/>
        <v>-1207.2394684427456</v>
      </c>
      <c r="AC9" s="84">
        <f t="shared" si="0"/>
        <v>-1210.2570723764195</v>
      </c>
      <c r="AD9" s="84">
        <f t="shared" si="0"/>
        <v>-1213.2849361634683</v>
      </c>
      <c r="AE9" s="84">
        <f t="shared" si="0"/>
        <v>-1216.3230946873925</v>
      </c>
      <c r="AF9" s="84">
        <f t="shared" si="0"/>
        <v>-1219.3715829502985</v>
      </c>
      <c r="AG9" s="84">
        <f t="shared" si="0"/>
        <v>-1222.4304360732976</v>
      </c>
      <c r="AH9" s="84">
        <f t="shared" si="0"/>
        <v>-1225.4996892969161</v>
      </c>
      <c r="AI9" s="84">
        <f t="shared" ref="AI9:AN9" si="1">SUM(AI10:AI12)</f>
        <v>0</v>
      </c>
      <c r="AJ9" s="84">
        <f t="shared" si="1"/>
        <v>0</v>
      </c>
      <c r="AK9" s="84">
        <f t="shared" si="1"/>
        <v>0</v>
      </c>
      <c r="AL9" s="84">
        <f t="shared" si="1"/>
        <v>0</v>
      </c>
      <c r="AM9" s="84">
        <f t="shared" si="1"/>
        <v>0</v>
      </c>
      <c r="AN9" s="84">
        <f t="shared" si="1"/>
        <v>0</v>
      </c>
    </row>
    <row r="10" spans="1:40" ht="12.75" customHeight="1">
      <c r="A10" s="63" t="s">
        <v>425</v>
      </c>
      <c r="B10" s="81"/>
      <c r="C10" s="40">
        <f>SUM(E9:AN9)</f>
        <v>-34531.785314370893</v>
      </c>
      <c r="D10" s="46"/>
      <c r="E10" s="40">
        <f>E24</f>
        <v>-36.601152203018486</v>
      </c>
      <c r="F10" s="40">
        <f t="shared" ref="F10:AH10" si="2">F24</f>
        <v>-64.438978320356256</v>
      </c>
      <c r="G10" s="40">
        <f t="shared" si="2"/>
        <v>-86.129078277025883</v>
      </c>
      <c r="H10" s="40">
        <f t="shared" si="2"/>
        <v>-86.340234291333061</v>
      </c>
      <c r="I10" s="40">
        <f t="shared" si="2"/>
        <v>-86.55210823608887</v>
      </c>
      <c r="J10" s="40">
        <f t="shared" si="2"/>
        <v>-86.76470255225685</v>
      </c>
      <c r="K10" s="40">
        <f t="shared" si="2"/>
        <v>-86.97801968909981</v>
      </c>
      <c r="L10" s="40">
        <f t="shared" si="2"/>
        <v>-87.19206210420802</v>
      </c>
      <c r="M10" s="40">
        <f t="shared" si="2"/>
        <v>-87.406832263527605</v>
      </c>
      <c r="N10" s="40">
        <f t="shared" si="2"/>
        <v>-87.622332641388866</v>
      </c>
      <c r="O10" s="40">
        <f t="shared" si="2"/>
        <v>-87.838565720534874</v>
      </c>
      <c r="P10" s="40">
        <f t="shared" si="2"/>
        <v>-88.055533992149961</v>
      </c>
      <c r="Q10" s="40">
        <f t="shared" si="2"/>
        <v>-88.273239955888556</v>
      </c>
      <c r="R10" s="40">
        <f t="shared" si="2"/>
        <v>-88.491686119903861</v>
      </c>
      <c r="S10" s="40">
        <f t="shared" si="2"/>
        <v>-88.710875000876797</v>
      </c>
      <c r="T10" s="40">
        <f t="shared" si="2"/>
        <v>-88.930809124045055</v>
      </c>
      <c r="U10" s="40">
        <f t="shared" si="2"/>
        <v>-89.151491023232083</v>
      </c>
      <c r="V10" s="40">
        <f t="shared" si="2"/>
        <v>-89.372923240876361</v>
      </c>
      <c r="W10" s="40">
        <f t="shared" si="2"/>
        <v>-89.595108328060618</v>
      </c>
      <c r="X10" s="40">
        <f t="shared" si="2"/>
        <v>-89.818048844541281</v>
      </c>
      <c r="Y10" s="40">
        <f t="shared" si="2"/>
        <v>-90.041747358778011</v>
      </c>
      <c r="Z10" s="40">
        <f t="shared" si="2"/>
        <v>-90.266206447963143</v>
      </c>
      <c r="AA10" s="40">
        <f t="shared" si="2"/>
        <v>-90.491428698051479</v>
      </c>
      <c r="AB10" s="40">
        <f t="shared" si="2"/>
        <v>-90.717416703790136</v>
      </c>
      <c r="AC10" s="40">
        <f t="shared" si="2"/>
        <v>-90.944173068748285</v>
      </c>
      <c r="AD10" s="40">
        <f t="shared" si="2"/>
        <v>-91.171700405347323</v>
      </c>
      <c r="AE10" s="40">
        <f t="shared" si="2"/>
        <v>-91.400001334890774</v>
      </c>
      <c r="AF10" s="40">
        <f t="shared" si="2"/>
        <v>-91.629078487594683</v>
      </c>
      <c r="AG10" s="40">
        <f t="shared" si="2"/>
        <v>-91.858934502617757</v>
      </c>
      <c r="AH10" s="40">
        <f t="shared" si="2"/>
        <v>-92.089572028091951</v>
      </c>
      <c r="AI10" s="40">
        <f t="shared" ref="AI10:AN10" si="3">AI24</f>
        <v>0</v>
      </c>
      <c r="AJ10" s="40">
        <f t="shared" si="3"/>
        <v>0</v>
      </c>
      <c r="AK10" s="40">
        <f t="shared" si="3"/>
        <v>0</v>
      </c>
      <c r="AL10" s="40">
        <f t="shared" si="3"/>
        <v>0</v>
      </c>
      <c r="AM10" s="40">
        <f t="shared" si="3"/>
        <v>0</v>
      </c>
      <c r="AN10" s="40">
        <f t="shared" si="3"/>
        <v>0</v>
      </c>
    </row>
    <row r="11" spans="1:40" ht="12" customHeight="1">
      <c r="A11" s="63" t="s">
        <v>86</v>
      </c>
      <c r="B11" s="81"/>
      <c r="C11" s="540">
        <f>-C10*1000</f>
        <v>34531785.314370893</v>
      </c>
      <c r="D11" s="46"/>
      <c r="E11" s="40">
        <f>E25</f>
        <v>-168.92839478316222</v>
      </c>
      <c r="F11" s="40">
        <f t="shared" ref="F11:AH11" si="4">F25</f>
        <v>-297.410669170875</v>
      </c>
      <c r="G11" s="40">
        <f t="shared" si="4"/>
        <v>-397.51882281704252</v>
      </c>
      <c r="H11" s="40">
        <f t="shared" si="4"/>
        <v>-398.49338903692177</v>
      </c>
      <c r="I11" s="40">
        <f t="shared" si="4"/>
        <v>-399.47126878194854</v>
      </c>
      <c r="J11" s="40">
        <f t="shared" si="4"/>
        <v>-400.4524733181085</v>
      </c>
      <c r="K11" s="40">
        <f t="shared" si="4"/>
        <v>-401.43701394969139</v>
      </c>
      <c r="L11" s="40">
        <f t="shared" si="4"/>
        <v>-402.42490201942161</v>
      </c>
      <c r="M11" s="40">
        <f t="shared" si="4"/>
        <v>-403.41614890858887</v>
      </c>
      <c r="N11" s="40">
        <f t="shared" si="4"/>
        <v>-404.41076603717931</v>
      </c>
      <c r="O11" s="40">
        <f t="shared" si="4"/>
        <v>-405.40876486400703</v>
      </c>
      <c r="P11" s="40">
        <f t="shared" si="4"/>
        <v>-406.41015688684593</v>
      </c>
      <c r="Q11" s="40">
        <f t="shared" si="4"/>
        <v>-407.41495364256247</v>
      </c>
      <c r="R11" s="40">
        <f t="shared" si="4"/>
        <v>-408.42316670724853</v>
      </c>
      <c r="S11" s="40">
        <f t="shared" si="4"/>
        <v>-409.43480769635437</v>
      </c>
      <c r="T11" s="40">
        <f t="shared" si="4"/>
        <v>-410.44988826482324</v>
      </c>
      <c r="U11" s="40">
        <f t="shared" si="4"/>
        <v>-411.46842010722497</v>
      </c>
      <c r="V11" s="40">
        <f t="shared" si="4"/>
        <v>-412.49041495789089</v>
      </c>
      <c r="W11" s="40">
        <f t="shared" si="4"/>
        <v>-413.51588459104897</v>
      </c>
      <c r="X11" s="40">
        <f t="shared" si="4"/>
        <v>-414.54484082095973</v>
      </c>
      <c r="Y11" s="40">
        <f t="shared" si="4"/>
        <v>-415.57729550205232</v>
      </c>
      <c r="Z11" s="40">
        <f t="shared" si="4"/>
        <v>-416.6132605290606</v>
      </c>
      <c r="AA11" s="40">
        <f t="shared" si="4"/>
        <v>-417.65274783716063</v>
      </c>
      <c r="AB11" s="40">
        <f t="shared" si="4"/>
        <v>-418.69576940210828</v>
      </c>
      <c r="AC11" s="40">
        <f t="shared" si="4"/>
        <v>-419.74233724037668</v>
      </c>
      <c r="AD11" s="40">
        <f t="shared" si="4"/>
        <v>-420.79246340929529</v>
      </c>
      <c r="AE11" s="40">
        <f t="shared" si="4"/>
        <v>-421.84616000718813</v>
      </c>
      <c r="AF11" s="40">
        <f t="shared" si="4"/>
        <v>-422.90343917351385</v>
      </c>
      <c r="AG11" s="40">
        <f t="shared" si="4"/>
        <v>-423.96431308900497</v>
      </c>
      <c r="AH11" s="40">
        <f t="shared" si="4"/>
        <v>-425.02879397580898</v>
      </c>
      <c r="AI11" s="40">
        <f t="shared" ref="AI11:AN11" si="5">AI25</f>
        <v>0</v>
      </c>
      <c r="AJ11" s="40">
        <f t="shared" si="5"/>
        <v>0</v>
      </c>
      <c r="AK11" s="40">
        <f t="shared" si="5"/>
        <v>0</v>
      </c>
      <c r="AL11" s="40">
        <f t="shared" si="5"/>
        <v>0</v>
      </c>
      <c r="AM11" s="40">
        <f t="shared" si="5"/>
        <v>0</v>
      </c>
      <c r="AN11" s="40">
        <f t="shared" si="5"/>
        <v>0</v>
      </c>
    </row>
    <row r="12" spans="1:40" ht="12" customHeight="1">
      <c r="A12" s="63" t="s">
        <v>88</v>
      </c>
      <c r="B12" s="81"/>
      <c r="C12" s="81"/>
      <c r="D12" s="46"/>
      <c r="E12" s="40">
        <f>E26</f>
        <v>-281.54732463860375</v>
      </c>
      <c r="F12" s="40">
        <f t="shared" ref="F12:AH12" si="6">F26</f>
        <v>-495.68444861812509</v>
      </c>
      <c r="G12" s="40">
        <f t="shared" si="6"/>
        <v>-662.53137136173757</v>
      </c>
      <c r="H12" s="40">
        <f t="shared" si="6"/>
        <v>-664.15564839486967</v>
      </c>
      <c r="I12" s="40">
        <f t="shared" si="6"/>
        <v>-665.78544796991434</v>
      </c>
      <c r="J12" s="40">
        <f t="shared" si="6"/>
        <v>-667.42078886351419</v>
      </c>
      <c r="K12" s="40">
        <f t="shared" si="6"/>
        <v>-669.06168991615232</v>
      </c>
      <c r="L12" s="40">
        <f t="shared" si="6"/>
        <v>-670.70817003236937</v>
      </c>
      <c r="M12" s="40">
        <f t="shared" si="6"/>
        <v>-672.36024818098156</v>
      </c>
      <c r="N12" s="40">
        <f t="shared" si="6"/>
        <v>-674.01794339529897</v>
      </c>
      <c r="O12" s="40">
        <f t="shared" si="6"/>
        <v>-675.68127477334519</v>
      </c>
      <c r="P12" s="40">
        <f t="shared" si="6"/>
        <v>-677.35026147807662</v>
      </c>
      <c r="Q12" s="40">
        <f t="shared" si="6"/>
        <v>-679.02492273760424</v>
      </c>
      <c r="R12" s="40">
        <f t="shared" si="6"/>
        <v>-680.70527784541434</v>
      </c>
      <c r="S12" s="40">
        <f t="shared" si="6"/>
        <v>-682.39134616059073</v>
      </c>
      <c r="T12" s="40">
        <f t="shared" si="6"/>
        <v>-684.08314710803882</v>
      </c>
      <c r="U12" s="40">
        <f t="shared" si="6"/>
        <v>-685.78070017870834</v>
      </c>
      <c r="V12" s="40">
        <f t="shared" si="6"/>
        <v>-687.48402492981813</v>
      </c>
      <c r="W12" s="40">
        <f t="shared" si="6"/>
        <v>-689.19314098508175</v>
      </c>
      <c r="X12" s="40">
        <f t="shared" si="6"/>
        <v>-690.90806803493297</v>
      </c>
      <c r="Y12" s="40">
        <f t="shared" si="6"/>
        <v>-692.628825836754</v>
      </c>
      <c r="Z12" s="40">
        <f t="shared" si="6"/>
        <v>-694.35543421510101</v>
      </c>
      <c r="AA12" s="40">
        <f t="shared" si="6"/>
        <v>-696.0879130619345</v>
      </c>
      <c r="AB12" s="40">
        <f t="shared" si="6"/>
        <v>-697.82628233684727</v>
      </c>
      <c r="AC12" s="40">
        <f t="shared" si="6"/>
        <v>-699.57056206729453</v>
      </c>
      <c r="AD12" s="40">
        <f t="shared" si="6"/>
        <v>-701.32077234882559</v>
      </c>
      <c r="AE12" s="40">
        <f t="shared" si="6"/>
        <v>-703.07693334531359</v>
      </c>
      <c r="AF12" s="40">
        <f t="shared" si="6"/>
        <v>-704.83906528918988</v>
      </c>
      <c r="AG12" s="40">
        <f t="shared" si="6"/>
        <v>-706.60718848167505</v>
      </c>
      <c r="AH12" s="40">
        <f t="shared" si="6"/>
        <v>-708.38132329301504</v>
      </c>
      <c r="AI12" s="40">
        <f t="shared" ref="AI12:AN12" si="7">AI26</f>
        <v>0</v>
      </c>
      <c r="AJ12" s="40">
        <f t="shared" si="7"/>
        <v>0</v>
      </c>
      <c r="AK12" s="40">
        <f t="shared" si="7"/>
        <v>0</v>
      </c>
      <c r="AL12" s="40">
        <f t="shared" si="7"/>
        <v>0</v>
      </c>
      <c r="AM12" s="40">
        <f t="shared" si="7"/>
        <v>0</v>
      </c>
      <c r="AN12" s="40">
        <f t="shared" si="7"/>
        <v>0</v>
      </c>
    </row>
    <row r="13" spans="1:40" ht="12" customHeight="1">
      <c r="A13" s="68" t="s">
        <v>115</v>
      </c>
      <c r="B13" s="80"/>
      <c r="C13" s="80"/>
      <c r="D13" s="83"/>
      <c r="E13" s="84">
        <f t="shared" ref="E13:Z13" si="8">SUM(E14:E15)</f>
        <v>-588.64697841360169</v>
      </c>
      <c r="F13" s="84">
        <f t="shared" si="8"/>
        <v>-1054.6093601930402</v>
      </c>
      <c r="G13" s="84">
        <f t="shared" si="8"/>
        <v>-1417.6682640831411</v>
      </c>
      <c r="H13" s="84">
        <f t="shared" si="8"/>
        <v>-1421.2026909072363</v>
      </c>
      <c r="I13" s="84">
        <f t="shared" si="8"/>
        <v>-1424.7491347825335</v>
      </c>
      <c r="J13" s="84">
        <f t="shared" si="8"/>
        <v>-1428.307636567007</v>
      </c>
      <c r="K13" s="84">
        <f t="shared" si="8"/>
        <v>-1431.8782372575474</v>
      </c>
      <c r="L13" s="84">
        <f t="shared" si="8"/>
        <v>-1435.4609779904358</v>
      </c>
      <c r="M13" s="84">
        <f t="shared" si="8"/>
        <v>-1439.0559000418157</v>
      </c>
      <c r="N13" s="84">
        <f t="shared" si="8"/>
        <v>-1442.6630448281703</v>
      </c>
      <c r="O13" s="84">
        <f t="shared" si="8"/>
        <v>-1446.282453906799</v>
      </c>
      <c r="P13" s="84">
        <f t="shared" si="8"/>
        <v>-1449.9141689762946</v>
      </c>
      <c r="Q13" s="84">
        <f t="shared" si="8"/>
        <v>-1453.5582318770266</v>
      </c>
      <c r="R13" s="84">
        <f t="shared" si="8"/>
        <v>-1457.2146845916213</v>
      </c>
      <c r="S13" s="84">
        <f t="shared" si="8"/>
        <v>-1460.8835692454452</v>
      </c>
      <c r="T13" s="84">
        <f t="shared" si="8"/>
        <v>-1464.5649281070923</v>
      </c>
      <c r="U13" s="84">
        <f t="shared" si="8"/>
        <v>-1468.2588035888693</v>
      </c>
      <c r="V13" s="84">
        <f t="shared" si="8"/>
        <v>-1471.9652382472841</v>
      </c>
      <c r="W13" s="84">
        <f t="shared" si="8"/>
        <v>-1475.6842747835376</v>
      </c>
      <c r="X13" s="84">
        <f t="shared" si="8"/>
        <v>-1479.4159560440141</v>
      </c>
      <c r="Y13" s="84">
        <f t="shared" si="8"/>
        <v>-1483.1603250207766</v>
      </c>
      <c r="Z13" s="84">
        <f t="shared" si="8"/>
        <v>-1486.9174248520599</v>
      </c>
      <c r="AA13" s="84">
        <f t="shared" ref="AA13:AM13" si="9">SUM(AA14:AA15)</f>
        <v>-1490.6872988227692</v>
      </c>
      <c r="AB13" s="84">
        <f t="shared" si="9"/>
        <v>-1494.4699903649794</v>
      </c>
      <c r="AC13" s="84">
        <f t="shared" si="9"/>
        <v>-1498.2655430584327</v>
      </c>
      <c r="AD13" s="84">
        <f t="shared" si="9"/>
        <v>-1502.0740006310443</v>
      </c>
      <c r="AE13" s="84">
        <f t="shared" si="9"/>
        <v>-1505.8954069594024</v>
      </c>
      <c r="AF13" s="84">
        <f t="shared" si="9"/>
        <v>-1509.7298060692769</v>
      </c>
      <c r="AG13" s="84">
        <f t="shared" si="9"/>
        <v>-1513.5772421361248</v>
      </c>
      <c r="AH13" s="84">
        <f t="shared" si="9"/>
        <v>-1517.4377594856007</v>
      </c>
      <c r="AI13" s="84">
        <f t="shared" si="9"/>
        <v>0</v>
      </c>
      <c r="AJ13" s="84">
        <f t="shared" si="9"/>
        <v>0</v>
      </c>
      <c r="AK13" s="84">
        <f t="shared" si="9"/>
        <v>0</v>
      </c>
      <c r="AL13" s="84">
        <f t="shared" si="9"/>
        <v>0</v>
      </c>
      <c r="AM13" s="84">
        <f t="shared" si="9"/>
        <v>0</v>
      </c>
      <c r="AN13" s="40">
        <f t="shared" ref="AN13" si="10">AN27</f>
        <v>0</v>
      </c>
    </row>
    <row r="14" spans="1:40" ht="12" customHeight="1">
      <c r="A14" s="63" t="s">
        <v>90</v>
      </c>
      <c r="B14" s="81"/>
      <c r="C14" s="81"/>
      <c r="D14" s="46"/>
      <c r="E14" s="40">
        <f t="shared" ref="E14:Z14" si="11">E39</f>
        <v>-426.47571942176597</v>
      </c>
      <c r="F14" s="40">
        <f t="shared" si="11"/>
        <v>-769.09511778900014</v>
      </c>
      <c r="G14" s="40">
        <f t="shared" si="11"/>
        <v>-1036.0501941787802</v>
      </c>
      <c r="H14" s="40">
        <f t="shared" si="11"/>
        <v>-1038.6490374317914</v>
      </c>
      <c r="I14" s="40">
        <f t="shared" si="11"/>
        <v>-1041.2567167518628</v>
      </c>
      <c r="J14" s="40">
        <f t="shared" si="11"/>
        <v>-1043.8732621816227</v>
      </c>
      <c r="K14" s="40">
        <f t="shared" si="11"/>
        <v>-1046.4987038658437</v>
      </c>
      <c r="L14" s="40">
        <f t="shared" si="11"/>
        <v>-1049.133072051791</v>
      </c>
      <c r="M14" s="40">
        <f t="shared" si="11"/>
        <v>-1051.7763970895703</v>
      </c>
      <c r="N14" s="40">
        <f t="shared" si="11"/>
        <v>-1054.4287094324782</v>
      </c>
      <c r="O14" s="40">
        <f t="shared" si="11"/>
        <v>-1057.0900396373522</v>
      </c>
      <c r="P14" s="40">
        <f t="shared" si="11"/>
        <v>-1059.7604183649225</v>
      </c>
      <c r="Q14" s="40">
        <f t="shared" si="11"/>
        <v>-1062.4398763801667</v>
      </c>
      <c r="R14" s="40">
        <f t="shared" si="11"/>
        <v>-1065.1284445526628</v>
      </c>
      <c r="S14" s="40">
        <f t="shared" si="11"/>
        <v>-1067.826153856945</v>
      </c>
      <c r="T14" s="40">
        <f t="shared" si="11"/>
        <v>-1070.5330353728621</v>
      </c>
      <c r="U14" s="40">
        <f t="shared" si="11"/>
        <v>-1073.2491202859333</v>
      </c>
      <c r="V14" s="40">
        <f t="shared" si="11"/>
        <v>-1075.974439887709</v>
      </c>
      <c r="W14" s="40">
        <f t="shared" si="11"/>
        <v>-1078.7090255761307</v>
      </c>
      <c r="X14" s="40">
        <f t="shared" si="11"/>
        <v>-1081.4529088558927</v>
      </c>
      <c r="Y14" s="40">
        <f t="shared" si="11"/>
        <v>-1084.2061213388063</v>
      </c>
      <c r="Z14" s="40">
        <f t="shared" si="11"/>
        <v>-1086.9686947441617</v>
      </c>
      <c r="AA14" s="40">
        <f t="shared" ref="AA14:AM14" si="12">AA39</f>
        <v>-1089.740660899095</v>
      </c>
      <c r="AB14" s="40">
        <f t="shared" si="12"/>
        <v>-1092.5220517389555</v>
      </c>
      <c r="AC14" s="40">
        <f t="shared" si="12"/>
        <v>-1095.3128993076712</v>
      </c>
      <c r="AD14" s="40">
        <f t="shared" si="12"/>
        <v>-1098.1132357581209</v>
      </c>
      <c r="AE14" s="40">
        <f t="shared" si="12"/>
        <v>-1100.9230933525018</v>
      </c>
      <c r="AF14" s="40">
        <f t="shared" si="12"/>
        <v>-1103.7425044627037</v>
      </c>
      <c r="AG14" s="40">
        <f t="shared" si="12"/>
        <v>-1106.5715015706801</v>
      </c>
      <c r="AH14" s="40">
        <f t="shared" si="12"/>
        <v>-1109.410117268824</v>
      </c>
      <c r="AI14" s="40">
        <f t="shared" si="12"/>
        <v>0</v>
      </c>
      <c r="AJ14" s="40">
        <f t="shared" si="12"/>
        <v>0</v>
      </c>
      <c r="AK14" s="40">
        <f t="shared" si="12"/>
        <v>0</v>
      </c>
      <c r="AL14" s="40">
        <f t="shared" si="12"/>
        <v>0</v>
      </c>
      <c r="AM14" s="40">
        <f t="shared" si="12"/>
        <v>0</v>
      </c>
      <c r="AN14" s="40">
        <f t="shared" ref="AN14" si="13">AN28</f>
        <v>0</v>
      </c>
    </row>
    <row r="15" spans="1:40" ht="12" customHeight="1">
      <c r="A15" s="63" t="s">
        <v>94</v>
      </c>
      <c r="B15" s="81"/>
      <c r="C15" s="81"/>
      <c r="D15" s="46"/>
      <c r="E15" s="40">
        <f t="shared" ref="E15:Z15" si="14">E43</f>
        <v>-162.17125899183574</v>
      </c>
      <c r="F15" s="40">
        <f t="shared" si="14"/>
        <v>-285.51424240404003</v>
      </c>
      <c r="G15" s="40">
        <f t="shared" si="14"/>
        <v>-381.61806990436088</v>
      </c>
      <c r="H15" s="40">
        <f t="shared" si="14"/>
        <v>-382.55365347544489</v>
      </c>
      <c r="I15" s="40">
        <f t="shared" si="14"/>
        <v>-383.49241803067059</v>
      </c>
      <c r="J15" s="40">
        <f t="shared" si="14"/>
        <v>-384.43437438538416</v>
      </c>
      <c r="K15" s="40">
        <f t="shared" si="14"/>
        <v>-385.37953339170372</v>
      </c>
      <c r="L15" s="40">
        <f t="shared" si="14"/>
        <v>-386.32790593864473</v>
      </c>
      <c r="M15" s="40">
        <f t="shared" si="14"/>
        <v>-387.27950295224531</v>
      </c>
      <c r="N15" s="40">
        <f t="shared" si="14"/>
        <v>-388.23433539569214</v>
      </c>
      <c r="O15" s="40">
        <f t="shared" si="14"/>
        <v>-389.19241426944677</v>
      </c>
      <c r="P15" s="40">
        <f t="shared" si="14"/>
        <v>-390.15375061137212</v>
      </c>
      <c r="Q15" s="40">
        <f t="shared" si="14"/>
        <v>-391.11835549685998</v>
      </c>
      <c r="R15" s="40">
        <f t="shared" si="14"/>
        <v>-392.08624003895858</v>
      </c>
      <c r="S15" s="40">
        <f t="shared" si="14"/>
        <v>-393.0574153885002</v>
      </c>
      <c r="T15" s="40">
        <f t="shared" si="14"/>
        <v>-394.03189273423033</v>
      </c>
      <c r="U15" s="40">
        <f t="shared" si="14"/>
        <v>-395.00968330293597</v>
      </c>
      <c r="V15" s="40">
        <f t="shared" si="14"/>
        <v>-395.99079835957519</v>
      </c>
      <c r="W15" s="40">
        <f t="shared" si="14"/>
        <v>-396.97524920740705</v>
      </c>
      <c r="X15" s="40">
        <f t="shared" si="14"/>
        <v>-397.96304718812138</v>
      </c>
      <c r="Y15" s="40">
        <f t="shared" si="14"/>
        <v>-398.95420368197023</v>
      </c>
      <c r="Z15" s="40">
        <f t="shared" si="14"/>
        <v>-399.9487301078982</v>
      </c>
      <c r="AA15" s="40">
        <f t="shared" ref="AA15:AM15" si="15">AA43</f>
        <v>-400.94663792367419</v>
      </c>
      <c r="AB15" s="40">
        <f t="shared" si="15"/>
        <v>-401.94793862602398</v>
      </c>
      <c r="AC15" s="40">
        <f t="shared" si="15"/>
        <v>-402.95264375076158</v>
      </c>
      <c r="AD15" s="40">
        <f t="shared" si="15"/>
        <v>-403.96076487292351</v>
      </c>
      <c r="AE15" s="40">
        <f t="shared" si="15"/>
        <v>-404.97231360690063</v>
      </c>
      <c r="AF15" s="40">
        <f t="shared" si="15"/>
        <v>-405.98730160657328</v>
      </c>
      <c r="AG15" s="40">
        <f t="shared" si="15"/>
        <v>-407.0057405654448</v>
      </c>
      <c r="AH15" s="40">
        <f t="shared" si="15"/>
        <v>-408.02764221677666</v>
      </c>
      <c r="AI15" s="40">
        <f t="shared" si="15"/>
        <v>0</v>
      </c>
      <c r="AJ15" s="40">
        <f t="shared" si="15"/>
        <v>0</v>
      </c>
      <c r="AK15" s="40">
        <f t="shared" si="15"/>
        <v>0</v>
      </c>
      <c r="AL15" s="40">
        <f t="shared" si="15"/>
        <v>0</v>
      </c>
      <c r="AM15" s="40">
        <f t="shared" si="15"/>
        <v>0</v>
      </c>
      <c r="AN15" s="40">
        <f t="shared" ref="AN15" si="16">AN29</f>
        <v>0</v>
      </c>
    </row>
    <row r="16" spans="1:40" ht="12.75" customHeight="1">
      <c r="A16" s="56"/>
      <c r="B16" s="56"/>
      <c r="C16" s="56"/>
      <c r="D16" s="58"/>
      <c r="E16" s="58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40">
        <f t="shared" ref="AN16" si="17">AN30</f>
        <v>0</v>
      </c>
    </row>
    <row r="17" spans="1:40" ht="12.75" customHeight="1">
      <c r="A17" s="74" t="str">
        <f>Painel!C8</f>
        <v>Lucro Presumido</v>
      </c>
      <c r="B17" s="56"/>
      <c r="C17" s="56"/>
      <c r="D17" s="58"/>
      <c r="E17" s="58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40">
        <f t="shared" ref="AN17" si="18">AN31</f>
        <v>0</v>
      </c>
    </row>
    <row r="18" spans="1:40" ht="12.75" customHeight="1">
      <c r="A18" s="56"/>
      <c r="B18" s="56"/>
      <c r="C18" s="56"/>
      <c r="D18" s="58"/>
      <c r="E18" s="58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40">
        <f t="shared" ref="AN18" si="19">AN32</f>
        <v>0</v>
      </c>
    </row>
    <row r="19" spans="1:40" ht="12" customHeight="1">
      <c r="A19" s="75" t="s">
        <v>426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40">
        <f t="shared" ref="AN19" si="20">AN33</f>
        <v>0</v>
      </c>
    </row>
    <row r="20" spans="1:40" ht="12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40">
        <f t="shared" ref="AN20" si="21">AN34</f>
        <v>0</v>
      </c>
    </row>
    <row r="21" spans="1:40" ht="12" customHeight="1">
      <c r="A21" s="60" t="s">
        <v>427</v>
      </c>
      <c r="B21" s="60"/>
      <c r="C21" s="60"/>
      <c r="D21" s="46"/>
      <c r="E21" s="34">
        <f>Receitas!E7</f>
        <v>5630.9464927720746</v>
      </c>
      <c r="F21" s="34">
        <f>Receitas!F7</f>
        <v>9913.6889723625009</v>
      </c>
      <c r="G21" s="34">
        <f>Receitas!G7</f>
        <v>13250.627427234751</v>
      </c>
      <c r="H21" s="34">
        <f>Receitas!H7</f>
        <v>13283.112967897392</v>
      </c>
      <c r="I21" s="34">
        <f>Receitas!I7</f>
        <v>13315.708959398286</v>
      </c>
      <c r="J21" s="34">
        <f>Receitas!J7</f>
        <v>13348.415777270284</v>
      </c>
      <c r="K21" s="34">
        <f>Receitas!K7</f>
        <v>13381.233798323046</v>
      </c>
      <c r="L21" s="34">
        <f>Receitas!L7</f>
        <v>13414.163400647387</v>
      </c>
      <c r="M21" s="34">
        <f>Receitas!M7</f>
        <v>13447.20496361963</v>
      </c>
      <c r="N21" s="34">
        <f>Receitas!N7</f>
        <v>13480.358867905978</v>
      </c>
      <c r="O21" s="34">
        <f>Receitas!O7</f>
        <v>13513.625495466902</v>
      </c>
      <c r="P21" s="34">
        <f>Receitas!P7</f>
        <v>13547.005229561531</v>
      </c>
      <c r="Q21" s="34">
        <f>Receitas!Q7</f>
        <v>13580.498454752083</v>
      </c>
      <c r="R21" s="34">
        <f>Receitas!R7</f>
        <v>13614.105556908286</v>
      </c>
      <c r="S21" s="34">
        <f>Receitas!S7</f>
        <v>13647.826923211813</v>
      </c>
      <c r="T21" s="34">
        <f>Receitas!T7</f>
        <v>13681.662942160776</v>
      </c>
      <c r="U21" s="34">
        <f>Receitas!U7</f>
        <v>13715.614003574166</v>
      </c>
      <c r="V21" s="34">
        <f>Receitas!V7</f>
        <v>13749.680498596363</v>
      </c>
      <c r="W21" s="34">
        <f>Receitas!W7</f>
        <v>13783.862819701633</v>
      </c>
      <c r="X21" s="34">
        <f>Receitas!X7</f>
        <v>13818.161360698658</v>
      </c>
      <c r="Y21" s="34">
        <f>Receitas!Y7</f>
        <v>13852.576516735078</v>
      </c>
      <c r="Z21" s="34">
        <f>Receitas!Z7</f>
        <v>13887.10868430202</v>
      </c>
      <c r="AA21" s="34">
        <f>Receitas!AA7</f>
        <v>13921.758261238689</v>
      </c>
      <c r="AB21" s="34">
        <f>Receitas!AB7</f>
        <v>13956.525646736944</v>
      </c>
      <c r="AC21" s="34">
        <f>Receitas!AC7</f>
        <v>13991.41124134589</v>
      </c>
      <c r="AD21" s="34">
        <f>Receitas!AD7</f>
        <v>14026.415446976511</v>
      </c>
      <c r="AE21" s="34">
        <f>Receitas!AE7</f>
        <v>14061.538666906272</v>
      </c>
      <c r="AF21" s="34">
        <f>Receitas!AF7</f>
        <v>14096.781305783796</v>
      </c>
      <c r="AG21" s="34">
        <f>Receitas!AG7</f>
        <v>14132.1437696335</v>
      </c>
      <c r="AH21" s="34">
        <f>Receitas!AH7</f>
        <v>14167.6264658603</v>
      </c>
      <c r="AI21" s="34">
        <f>Receitas!AI7</f>
        <v>0</v>
      </c>
      <c r="AJ21" s="34">
        <f>Receitas!AJ7</f>
        <v>0</v>
      </c>
      <c r="AK21" s="34">
        <f>Receitas!AK7</f>
        <v>0</v>
      </c>
      <c r="AL21" s="34">
        <f>Receitas!AL7</f>
        <v>0</v>
      </c>
      <c r="AM21" s="34">
        <f>Receitas!AM7</f>
        <v>0</v>
      </c>
      <c r="AN21" s="40">
        <f t="shared" ref="AN21" si="22">AN35</f>
        <v>0</v>
      </c>
    </row>
    <row r="22" spans="1:40" ht="12" customHeight="1">
      <c r="A22" s="60"/>
      <c r="B22" s="60"/>
      <c r="C22" s="60"/>
      <c r="D22" s="57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40">
        <f t="shared" ref="AN22" si="23">AN36</f>
        <v>0</v>
      </c>
    </row>
    <row r="23" spans="1:40" ht="12.75" customHeight="1">
      <c r="A23" s="68" t="s">
        <v>424</v>
      </c>
      <c r="B23" s="80">
        <f>SUM(B24:B26)</f>
        <v>8.6499999999999994E-2</v>
      </c>
      <c r="C23" s="80"/>
      <c r="D23" s="83"/>
      <c r="E23" s="84">
        <f t="shared" ref="E23:AM23" si="24">SUM(E24:E26)</f>
        <v>-487.07687162478447</v>
      </c>
      <c r="F23" s="84">
        <f t="shared" si="24"/>
        <v>-857.53409610935637</v>
      </c>
      <c r="G23" s="84">
        <f t="shared" si="24"/>
        <v>-1146.1792724558059</v>
      </c>
      <c r="H23" s="84">
        <f t="shared" si="24"/>
        <v>-1148.9892717231246</v>
      </c>
      <c r="I23" s="84">
        <f t="shared" si="24"/>
        <v>-1151.8088249879518</v>
      </c>
      <c r="J23" s="84">
        <f t="shared" si="24"/>
        <v>-1154.6379647338795</v>
      </c>
      <c r="K23" s="84">
        <f t="shared" si="24"/>
        <v>-1157.4767235549434</v>
      </c>
      <c r="L23" s="84">
        <f t="shared" si="24"/>
        <v>-1160.325134155999</v>
      </c>
      <c r="M23" s="84">
        <f t="shared" si="24"/>
        <v>-1163.1832293530979</v>
      </c>
      <c r="N23" s="84">
        <f t="shared" si="24"/>
        <v>-1166.0510420738672</v>
      </c>
      <c r="O23" s="84">
        <f t="shared" si="24"/>
        <v>-1168.9286053578871</v>
      </c>
      <c r="P23" s="84">
        <f t="shared" si="24"/>
        <v>-1171.8159523570725</v>
      </c>
      <c r="Q23" s="84">
        <f t="shared" si="24"/>
        <v>-1174.7131163360552</v>
      </c>
      <c r="R23" s="84">
        <f t="shared" si="24"/>
        <v>-1177.6201306725668</v>
      </c>
      <c r="S23" s="84">
        <f t="shared" si="24"/>
        <v>-1180.537028857822</v>
      </c>
      <c r="T23" s="84">
        <f t="shared" si="24"/>
        <v>-1183.4638444969071</v>
      </c>
      <c r="U23" s="84">
        <f t="shared" si="24"/>
        <v>-1186.4006113091655</v>
      </c>
      <c r="V23" s="84">
        <f t="shared" si="24"/>
        <v>-1189.3473631285854</v>
      </c>
      <c r="W23" s="84">
        <f t="shared" si="24"/>
        <v>-1192.3041339041913</v>
      </c>
      <c r="X23" s="84">
        <f t="shared" si="24"/>
        <v>-1195.2709577004339</v>
      </c>
      <c r="Y23" s="84">
        <f t="shared" si="24"/>
        <v>-1198.2478686975844</v>
      </c>
      <c r="Z23" s="84">
        <f t="shared" si="24"/>
        <v>-1201.2349011921247</v>
      </c>
      <c r="AA23" s="84">
        <f t="shared" si="24"/>
        <v>-1204.2320895971466</v>
      </c>
      <c r="AB23" s="84">
        <f t="shared" si="24"/>
        <v>-1207.2394684427456</v>
      </c>
      <c r="AC23" s="84">
        <f t="shared" si="24"/>
        <v>-1210.2570723764195</v>
      </c>
      <c r="AD23" s="84">
        <f t="shared" si="24"/>
        <v>-1213.2849361634683</v>
      </c>
      <c r="AE23" s="84">
        <f t="shared" si="24"/>
        <v>-1216.3230946873925</v>
      </c>
      <c r="AF23" s="84">
        <f t="shared" si="24"/>
        <v>-1219.3715829502985</v>
      </c>
      <c r="AG23" s="84">
        <f t="shared" si="24"/>
        <v>-1222.4304360732976</v>
      </c>
      <c r="AH23" s="84">
        <f t="shared" si="24"/>
        <v>-1225.4996892969161</v>
      </c>
      <c r="AI23" s="84">
        <f t="shared" si="24"/>
        <v>0</v>
      </c>
      <c r="AJ23" s="84">
        <f t="shared" si="24"/>
        <v>0</v>
      </c>
      <c r="AK23" s="84">
        <f t="shared" si="24"/>
        <v>0</v>
      </c>
      <c r="AL23" s="84">
        <f t="shared" si="24"/>
        <v>0</v>
      </c>
      <c r="AM23" s="84">
        <f t="shared" si="24"/>
        <v>0</v>
      </c>
      <c r="AN23" s="40">
        <f t="shared" ref="AN23" si="25">AN37</f>
        <v>0</v>
      </c>
    </row>
    <row r="24" spans="1:40" ht="12.75" customHeight="1">
      <c r="A24" s="63" t="s">
        <v>425</v>
      </c>
      <c r="B24" s="81">
        <f>Painel!C23</f>
        <v>6.5000000000000006E-3</v>
      </c>
      <c r="C24" s="81"/>
      <c r="D24" s="46"/>
      <c r="E24" s="40">
        <f t="shared" ref="E24:AM24" si="26">-$B24*E21</f>
        <v>-36.601152203018486</v>
      </c>
      <c r="F24" s="40">
        <f t="shared" si="26"/>
        <v>-64.438978320356256</v>
      </c>
      <c r="G24" s="40">
        <f t="shared" si="26"/>
        <v>-86.129078277025883</v>
      </c>
      <c r="H24" s="40">
        <f t="shared" si="26"/>
        <v>-86.340234291333061</v>
      </c>
      <c r="I24" s="40">
        <f t="shared" si="26"/>
        <v>-86.55210823608887</v>
      </c>
      <c r="J24" s="40">
        <f t="shared" si="26"/>
        <v>-86.76470255225685</v>
      </c>
      <c r="K24" s="40">
        <f t="shared" si="26"/>
        <v>-86.97801968909981</v>
      </c>
      <c r="L24" s="40">
        <f t="shared" si="26"/>
        <v>-87.19206210420802</v>
      </c>
      <c r="M24" s="40">
        <f t="shared" si="26"/>
        <v>-87.406832263527605</v>
      </c>
      <c r="N24" s="40">
        <f t="shared" si="26"/>
        <v>-87.622332641388866</v>
      </c>
      <c r="O24" s="40">
        <f t="shared" si="26"/>
        <v>-87.838565720534874</v>
      </c>
      <c r="P24" s="40">
        <f t="shared" si="26"/>
        <v>-88.055533992149961</v>
      </c>
      <c r="Q24" s="40">
        <f t="shared" si="26"/>
        <v>-88.273239955888556</v>
      </c>
      <c r="R24" s="40">
        <f t="shared" si="26"/>
        <v>-88.491686119903861</v>
      </c>
      <c r="S24" s="40">
        <f t="shared" si="26"/>
        <v>-88.710875000876797</v>
      </c>
      <c r="T24" s="40">
        <f t="shared" si="26"/>
        <v>-88.930809124045055</v>
      </c>
      <c r="U24" s="40">
        <f t="shared" si="26"/>
        <v>-89.151491023232083</v>
      </c>
      <c r="V24" s="40">
        <f t="shared" si="26"/>
        <v>-89.372923240876361</v>
      </c>
      <c r="W24" s="40">
        <f t="shared" si="26"/>
        <v>-89.595108328060618</v>
      </c>
      <c r="X24" s="40">
        <f t="shared" si="26"/>
        <v>-89.818048844541281</v>
      </c>
      <c r="Y24" s="40">
        <f t="shared" si="26"/>
        <v>-90.041747358778011</v>
      </c>
      <c r="Z24" s="40">
        <f t="shared" si="26"/>
        <v>-90.266206447963143</v>
      </c>
      <c r="AA24" s="40">
        <f t="shared" si="26"/>
        <v>-90.491428698051479</v>
      </c>
      <c r="AB24" s="40">
        <f t="shared" si="26"/>
        <v>-90.717416703790136</v>
      </c>
      <c r="AC24" s="40">
        <f t="shared" si="26"/>
        <v>-90.944173068748285</v>
      </c>
      <c r="AD24" s="40">
        <f t="shared" si="26"/>
        <v>-91.171700405347323</v>
      </c>
      <c r="AE24" s="40">
        <f t="shared" si="26"/>
        <v>-91.400001334890774</v>
      </c>
      <c r="AF24" s="40">
        <f t="shared" si="26"/>
        <v>-91.629078487594683</v>
      </c>
      <c r="AG24" s="40">
        <f t="shared" si="26"/>
        <v>-91.858934502617757</v>
      </c>
      <c r="AH24" s="40">
        <f t="shared" si="26"/>
        <v>-92.089572028091951</v>
      </c>
      <c r="AI24" s="40">
        <f t="shared" si="26"/>
        <v>0</v>
      </c>
      <c r="AJ24" s="40">
        <f t="shared" si="26"/>
        <v>0</v>
      </c>
      <c r="AK24" s="40">
        <f t="shared" si="26"/>
        <v>0</v>
      </c>
      <c r="AL24" s="40">
        <f t="shared" si="26"/>
        <v>0</v>
      </c>
      <c r="AM24" s="40">
        <f t="shared" si="26"/>
        <v>0</v>
      </c>
      <c r="AN24" s="40">
        <f t="shared" ref="AN24" si="27">AN38</f>
        <v>0</v>
      </c>
    </row>
    <row r="25" spans="1:40" ht="12" customHeight="1">
      <c r="A25" s="63" t="s">
        <v>86</v>
      </c>
      <c r="B25" s="81">
        <f>Painel!C24</f>
        <v>0.03</v>
      </c>
      <c r="C25" s="81"/>
      <c r="D25" s="46"/>
      <c r="E25" s="40">
        <f t="shared" ref="E25:AM25" si="28">-$B25*E21</f>
        <v>-168.92839478316222</v>
      </c>
      <c r="F25" s="40">
        <f t="shared" si="28"/>
        <v>-297.410669170875</v>
      </c>
      <c r="G25" s="40">
        <f t="shared" si="28"/>
        <v>-397.51882281704252</v>
      </c>
      <c r="H25" s="40">
        <f t="shared" si="28"/>
        <v>-398.49338903692177</v>
      </c>
      <c r="I25" s="40">
        <f t="shared" si="28"/>
        <v>-399.47126878194854</v>
      </c>
      <c r="J25" s="40">
        <f t="shared" si="28"/>
        <v>-400.4524733181085</v>
      </c>
      <c r="K25" s="40">
        <f t="shared" si="28"/>
        <v>-401.43701394969139</v>
      </c>
      <c r="L25" s="40">
        <f t="shared" si="28"/>
        <v>-402.42490201942161</v>
      </c>
      <c r="M25" s="40">
        <f t="shared" si="28"/>
        <v>-403.41614890858887</v>
      </c>
      <c r="N25" s="40">
        <f t="shared" si="28"/>
        <v>-404.41076603717931</v>
      </c>
      <c r="O25" s="40">
        <f t="shared" si="28"/>
        <v>-405.40876486400703</v>
      </c>
      <c r="P25" s="40">
        <f t="shared" si="28"/>
        <v>-406.41015688684593</v>
      </c>
      <c r="Q25" s="40">
        <f t="shared" si="28"/>
        <v>-407.41495364256247</v>
      </c>
      <c r="R25" s="40">
        <f t="shared" si="28"/>
        <v>-408.42316670724853</v>
      </c>
      <c r="S25" s="40">
        <f t="shared" si="28"/>
        <v>-409.43480769635437</v>
      </c>
      <c r="T25" s="40">
        <f t="shared" si="28"/>
        <v>-410.44988826482324</v>
      </c>
      <c r="U25" s="40">
        <f t="shared" si="28"/>
        <v>-411.46842010722497</v>
      </c>
      <c r="V25" s="40">
        <f t="shared" si="28"/>
        <v>-412.49041495789089</v>
      </c>
      <c r="W25" s="40">
        <f t="shared" si="28"/>
        <v>-413.51588459104897</v>
      </c>
      <c r="X25" s="40">
        <f t="shared" si="28"/>
        <v>-414.54484082095973</v>
      </c>
      <c r="Y25" s="40">
        <f t="shared" si="28"/>
        <v>-415.57729550205232</v>
      </c>
      <c r="Z25" s="40">
        <f t="shared" si="28"/>
        <v>-416.6132605290606</v>
      </c>
      <c r="AA25" s="40">
        <f t="shared" si="28"/>
        <v>-417.65274783716063</v>
      </c>
      <c r="AB25" s="40">
        <f t="shared" si="28"/>
        <v>-418.69576940210828</v>
      </c>
      <c r="AC25" s="40">
        <f t="shared" si="28"/>
        <v>-419.74233724037668</v>
      </c>
      <c r="AD25" s="40">
        <f t="shared" si="28"/>
        <v>-420.79246340929529</v>
      </c>
      <c r="AE25" s="40">
        <f t="shared" si="28"/>
        <v>-421.84616000718813</v>
      </c>
      <c r="AF25" s="40">
        <f t="shared" si="28"/>
        <v>-422.90343917351385</v>
      </c>
      <c r="AG25" s="40">
        <f t="shared" si="28"/>
        <v>-423.96431308900497</v>
      </c>
      <c r="AH25" s="40">
        <f t="shared" si="28"/>
        <v>-425.02879397580898</v>
      </c>
      <c r="AI25" s="40">
        <f t="shared" si="28"/>
        <v>0</v>
      </c>
      <c r="AJ25" s="40">
        <f t="shared" si="28"/>
        <v>0</v>
      </c>
      <c r="AK25" s="40">
        <f t="shared" si="28"/>
        <v>0</v>
      </c>
      <c r="AL25" s="40">
        <f t="shared" si="28"/>
        <v>0</v>
      </c>
      <c r="AM25" s="40">
        <f t="shared" si="28"/>
        <v>0</v>
      </c>
      <c r="AN25" s="40">
        <f t="shared" ref="AN25" si="29">AN39</f>
        <v>0</v>
      </c>
    </row>
    <row r="26" spans="1:40" ht="12" customHeight="1">
      <c r="A26" s="63" t="s">
        <v>88</v>
      </c>
      <c r="B26" s="81">
        <f>Painel!C25</f>
        <v>0.05</v>
      </c>
      <c r="C26" s="81"/>
      <c r="D26" s="46"/>
      <c r="E26" s="40">
        <f t="shared" ref="E26:AM26" si="30">-$B26*E21</f>
        <v>-281.54732463860375</v>
      </c>
      <c r="F26" s="40">
        <f t="shared" si="30"/>
        <v>-495.68444861812509</v>
      </c>
      <c r="G26" s="40">
        <f t="shared" si="30"/>
        <v>-662.53137136173757</v>
      </c>
      <c r="H26" s="40">
        <f t="shared" si="30"/>
        <v>-664.15564839486967</v>
      </c>
      <c r="I26" s="40">
        <f t="shared" si="30"/>
        <v>-665.78544796991434</v>
      </c>
      <c r="J26" s="40">
        <f t="shared" si="30"/>
        <v>-667.42078886351419</v>
      </c>
      <c r="K26" s="40">
        <f t="shared" si="30"/>
        <v>-669.06168991615232</v>
      </c>
      <c r="L26" s="40">
        <f t="shared" si="30"/>
        <v>-670.70817003236937</v>
      </c>
      <c r="M26" s="40">
        <f t="shared" si="30"/>
        <v>-672.36024818098156</v>
      </c>
      <c r="N26" s="40">
        <f t="shared" si="30"/>
        <v>-674.01794339529897</v>
      </c>
      <c r="O26" s="40">
        <f t="shared" si="30"/>
        <v>-675.68127477334519</v>
      </c>
      <c r="P26" s="40">
        <f t="shared" si="30"/>
        <v>-677.35026147807662</v>
      </c>
      <c r="Q26" s="40">
        <f t="shared" si="30"/>
        <v>-679.02492273760424</v>
      </c>
      <c r="R26" s="40">
        <f t="shared" si="30"/>
        <v>-680.70527784541434</v>
      </c>
      <c r="S26" s="40">
        <f t="shared" si="30"/>
        <v>-682.39134616059073</v>
      </c>
      <c r="T26" s="40">
        <f t="shared" si="30"/>
        <v>-684.08314710803882</v>
      </c>
      <c r="U26" s="40">
        <f t="shared" si="30"/>
        <v>-685.78070017870834</v>
      </c>
      <c r="V26" s="40">
        <f t="shared" si="30"/>
        <v>-687.48402492981813</v>
      </c>
      <c r="W26" s="40">
        <f t="shared" si="30"/>
        <v>-689.19314098508175</v>
      </c>
      <c r="X26" s="40">
        <f t="shared" si="30"/>
        <v>-690.90806803493297</v>
      </c>
      <c r="Y26" s="40">
        <f t="shared" si="30"/>
        <v>-692.628825836754</v>
      </c>
      <c r="Z26" s="40">
        <f t="shared" si="30"/>
        <v>-694.35543421510101</v>
      </c>
      <c r="AA26" s="40">
        <f t="shared" si="30"/>
        <v>-696.0879130619345</v>
      </c>
      <c r="AB26" s="40">
        <f t="shared" si="30"/>
        <v>-697.82628233684727</v>
      </c>
      <c r="AC26" s="40">
        <f t="shared" si="30"/>
        <v>-699.57056206729453</v>
      </c>
      <c r="AD26" s="40">
        <f t="shared" si="30"/>
        <v>-701.32077234882559</v>
      </c>
      <c r="AE26" s="40">
        <f t="shared" si="30"/>
        <v>-703.07693334531359</v>
      </c>
      <c r="AF26" s="40">
        <f t="shared" si="30"/>
        <v>-704.83906528918988</v>
      </c>
      <c r="AG26" s="40">
        <f t="shared" si="30"/>
        <v>-706.60718848167505</v>
      </c>
      <c r="AH26" s="40">
        <f t="shared" si="30"/>
        <v>-708.38132329301504</v>
      </c>
      <c r="AI26" s="40">
        <f t="shared" si="30"/>
        <v>0</v>
      </c>
      <c r="AJ26" s="40">
        <f t="shared" si="30"/>
        <v>0</v>
      </c>
      <c r="AK26" s="40">
        <f t="shared" si="30"/>
        <v>0</v>
      </c>
      <c r="AL26" s="40">
        <f t="shared" si="30"/>
        <v>0</v>
      </c>
      <c r="AM26" s="40">
        <f t="shared" si="30"/>
        <v>0</v>
      </c>
      <c r="AN26" s="40">
        <f t="shared" ref="AN26" si="31">AN40</f>
        <v>0</v>
      </c>
    </row>
    <row r="27" spans="1:40" ht="12" customHeight="1">
      <c r="A27" s="63"/>
      <c r="B27" s="81"/>
      <c r="C27" s="81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40">
        <f t="shared" ref="AN27" si="32">AN41</f>
        <v>0</v>
      </c>
    </row>
    <row r="28" spans="1:40" ht="12" customHeight="1">
      <c r="A28" s="75" t="s">
        <v>428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40">
        <f t="shared" ref="AN28" si="33">AN42</f>
        <v>0</v>
      </c>
    </row>
    <row r="29" spans="1:40" ht="12" customHeight="1">
      <c r="A29" s="60"/>
      <c r="B29" s="60"/>
      <c r="C29" s="60"/>
      <c r="D29" s="60"/>
      <c r="E29" s="84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40">
        <f t="shared" ref="AN29" si="34">AN43</f>
        <v>0</v>
      </c>
    </row>
    <row r="30" spans="1:40" ht="12" customHeight="1">
      <c r="A30" s="85" t="s">
        <v>429</v>
      </c>
      <c r="B30" s="60"/>
      <c r="C30" s="60"/>
      <c r="D30" s="86"/>
      <c r="E30" s="87">
        <f>(DRE!E7+DRE!E9)+DRE!E24+DRE!E35</f>
        <v>1913.2168186996646</v>
      </c>
      <c r="F30" s="87">
        <f>(DRE!F6+DRE!F7+DRE!F9)+DRE!F24+DRE!F35</f>
        <v>5530.7611605656994</v>
      </c>
      <c r="G30" s="87">
        <f>(DRE!G6+DRE!G7+DRE!G9)+DRE!G24+DRE!G35</f>
        <v>4167.9083577653746</v>
      </c>
      <c r="H30" s="87">
        <f>(DRE!H6+DRE!H7+DRE!H9)+DRE!H24+DRE!H35</f>
        <v>4197.5023604536327</v>
      </c>
      <c r="I30" s="87">
        <f>(DRE!I6+DRE!I7+DRE!I9)+DRE!I24+DRE!I35</f>
        <v>4227.1969827510329</v>
      </c>
      <c r="J30" s="87">
        <f>(DRE!J6+DRE!J7+DRE!J9)+DRE!J24+DRE!J35</f>
        <v>4256.9925667642437</v>
      </c>
      <c r="K30" s="87">
        <f>(DRE!K6+DRE!K7+DRE!K9)+DRE!K24+DRE!K35</f>
        <v>4286.8894557630992</v>
      </c>
      <c r="L30" s="87">
        <f>(DRE!L6+DRE!L7+DRE!L9)+DRE!L24+DRE!L35</f>
        <v>4316.8879941845507</v>
      </c>
      <c r="M30" s="87">
        <f>(DRE!M6+DRE!M7+DRE!M9)+DRE!M24+DRE!M35</f>
        <v>4346.988527636634</v>
      </c>
      <c r="N30" s="87">
        <f>(DRE!N6+DRE!N7+DRE!N9)+DRE!N24+DRE!N35</f>
        <v>4377.1914029024556</v>
      </c>
      <c r="O30" s="87">
        <f>(DRE!O6+DRE!O7+DRE!O9)+DRE!O24+DRE!O35</f>
        <v>4407.4969679441811</v>
      </c>
      <c r="P30" s="87">
        <f>(DRE!P6+DRE!P7+DRE!P9)+DRE!P24+DRE!P35</f>
        <v>4437.9055719070484</v>
      </c>
      <c r="Q30" s="87">
        <f>(DRE!Q6+DRE!Q7+DRE!Q9)+DRE!Q24+DRE!Q35</f>
        <v>4468.4175651233882</v>
      </c>
      <c r="R30" s="87">
        <f>(DRE!R6+DRE!R7+DRE!R9)+DRE!R24+DRE!R35</f>
        <v>4499.033299116667</v>
      </c>
      <c r="S30" s="87">
        <f>(DRE!S6+DRE!S7+DRE!S9)+DRE!S24+DRE!S35</f>
        <v>4529.7531266055175</v>
      </c>
      <c r="T30" s="87">
        <f>(DRE!T6+DRE!T7+DRE!T9)+DRE!T24+DRE!T35</f>
        <v>4560.5774015078323</v>
      </c>
      <c r="U30" s="87">
        <f>(DRE!U6+DRE!U7+DRE!U9)+DRE!U24+DRE!U35</f>
        <v>4591.5064789448179</v>
      </c>
      <c r="V30" s="87">
        <f>(DRE!V6+DRE!V7+DRE!V9)+DRE!V24+DRE!V35</f>
        <v>4622.5407152450889</v>
      </c>
      <c r="W30" s="87">
        <f>(DRE!W6+DRE!W7+DRE!W9)+DRE!W24+DRE!W35</f>
        <v>4653.6804679487786</v>
      </c>
      <c r="X30" s="87">
        <f>(DRE!X6+DRE!X7+DRE!X9)+DRE!X24+DRE!X35</f>
        <v>4684.9260958116583</v>
      </c>
      <c r="Y30" s="87">
        <f>(DRE!Y6+DRE!Y7+DRE!Y9)+DRE!Y24+DRE!Y35</f>
        <v>4716.2779588092762</v>
      </c>
      <c r="Z30" s="87">
        <f>(DRE!Z6+DRE!Z7+DRE!Z9)+DRE!Z24+DRE!Z35</f>
        <v>4747.7364181410849</v>
      </c>
      <c r="AA30" s="87">
        <f>(DRE!AA6+DRE!AA7+DRE!AA9)+DRE!AA24+DRE!AA35</f>
        <v>4779.3018362346211</v>
      </c>
      <c r="AB30" s="87">
        <f>(DRE!AB6+DRE!AB7+DRE!AB9)+DRE!AB24+DRE!AB35</f>
        <v>4810.974576749677</v>
      </c>
      <c r="AC30" s="87">
        <f>(DRE!AC6+DRE!AC7+DRE!AC9)+DRE!AC24+DRE!AC35</f>
        <v>4842.7550045824792</v>
      </c>
      <c r="AD30" s="87">
        <f>(DRE!AD6+DRE!AD7+DRE!AD9)+DRE!AD24+DRE!AD35</f>
        <v>4874.6434858699185</v>
      </c>
      <c r="AE30" s="87">
        <f>(DRE!AE6+DRE!AE7+DRE!AE9)+DRE!AE24+DRE!AE35</f>
        <v>4906.6403879937334</v>
      </c>
      <c r="AF30" s="87">
        <f>(DRE!AF6+DRE!AF7+DRE!AF9)+DRE!AF24+DRE!AF35</f>
        <v>4938.7460795847683</v>
      </c>
      <c r="AG30" s="87">
        <f>(DRE!AG6+DRE!AG7+DRE!AG9)+DRE!AG24+DRE!AG35</f>
        <v>4970.9609305272088</v>
      </c>
      <c r="AH30" s="87">
        <f>(DRE!AH6+DRE!AH7+DRE!AH9)+DRE!AH24+DRE!AH35</f>
        <v>5003.2853119628626</v>
      </c>
      <c r="AI30" s="87">
        <f>DRE!AI42</f>
        <v>0</v>
      </c>
      <c r="AJ30" s="87">
        <f>DRE!AJ42</f>
        <v>0</v>
      </c>
      <c r="AK30" s="87">
        <f>DRE!AK42</f>
        <v>0</v>
      </c>
      <c r="AL30" s="87">
        <f>DRE!AL42</f>
        <v>0</v>
      </c>
      <c r="AM30" s="87">
        <f>DRE!AM42</f>
        <v>0</v>
      </c>
      <c r="AN30" s="40">
        <f t="shared" ref="AN30" si="35">AN44</f>
        <v>0</v>
      </c>
    </row>
    <row r="31" spans="1:40" ht="12" customHeight="1">
      <c r="A31" s="88" t="s">
        <v>430</v>
      </c>
      <c r="B31" s="60"/>
      <c r="C31" s="60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40">
        <f t="shared" ref="AN31" si="36">AN45</f>
        <v>0</v>
      </c>
    </row>
    <row r="32" spans="1:40" ht="12.4" customHeight="1">
      <c r="A32" s="85"/>
      <c r="B32" s="60"/>
      <c r="C32" s="60"/>
      <c r="D32" s="86"/>
      <c r="E32" s="87">
        <f>(IF(E7="Lucro Real",E30+E31,E33*(Receitas!E7)))</f>
        <v>1801.9028776870639</v>
      </c>
      <c r="F32" s="87">
        <f>(IF(F7="Lucro Real",F30+F31,F33*(Receitas!F7)))</f>
        <v>3172.3804711560006</v>
      </c>
      <c r="G32" s="87">
        <f>(IF(G7="Lucro Real",G30+G31,G33*(Receitas!G7)))</f>
        <v>4240.2007767151208</v>
      </c>
      <c r="H32" s="87">
        <f>(IF(H7="Lucro Real",H30+H31,H33*(Receitas!H7)))</f>
        <v>4250.5961497271655</v>
      </c>
      <c r="I32" s="87">
        <f>(IF(I7="Lucro Real",I30+I31,I33*(Receitas!I7)))</f>
        <v>4261.0268670074511</v>
      </c>
      <c r="J32" s="87">
        <f>(IF(J7="Lucro Real",J30+J31,J33*(Receitas!J7)))</f>
        <v>4271.493048726491</v>
      </c>
      <c r="K32" s="87">
        <f>(IF(K7="Lucro Real",K30+K31,K33*(Receitas!K7)))</f>
        <v>4281.9948154633748</v>
      </c>
      <c r="L32" s="87">
        <f>(IF(L7="Lucro Real",L30+L31,L33*(Receitas!L7)))</f>
        <v>4292.5322882071641</v>
      </c>
      <c r="M32" s="87">
        <f>(IF(M7="Lucro Real",M30+M31,M33*(Receitas!M7)))</f>
        <v>4303.1055883582812</v>
      </c>
      <c r="N32" s="87">
        <f>(IF(N7="Lucro Real",N30+N31,N33*(Receitas!N7)))</f>
        <v>4313.7148377299127</v>
      </c>
      <c r="O32" s="87">
        <f>(IF(O7="Lucro Real",O30+O31,O33*(Receitas!O7)))</f>
        <v>4324.3601585494089</v>
      </c>
      <c r="P32" s="87">
        <f>(IF(P7="Lucro Real",P30+P31,P33*(Receitas!P7)))</f>
        <v>4335.0416734596902</v>
      </c>
      <c r="Q32" s="87">
        <f>(IF(Q7="Lucro Real",Q30+Q31,Q33*(Receitas!Q7)))</f>
        <v>4345.7595055206666</v>
      </c>
      <c r="R32" s="87">
        <f>(IF(R7="Lucro Real",R30+R31,R33*(Receitas!R7)))</f>
        <v>4356.5137782106513</v>
      </c>
      <c r="S32" s="87">
        <f>(IF(S7="Lucro Real",S30+S31,S33*(Receitas!S7)))</f>
        <v>4367.3046154277799</v>
      </c>
      <c r="T32" s="87">
        <f>(IF(T7="Lucro Real",T30+T31,T33*(Receitas!T7)))</f>
        <v>4378.1321414914482</v>
      </c>
      <c r="U32" s="87">
        <f>(IF(U7="Lucro Real",U30+U31,U33*(Receitas!U7)))</f>
        <v>4388.996481143733</v>
      </c>
      <c r="V32" s="87">
        <f>(IF(V7="Lucro Real",V30+V31,V33*(Receitas!V7)))</f>
        <v>4399.8977595508359</v>
      </c>
      <c r="W32" s="87">
        <f>(IF(W7="Lucro Real",W30+W31,W33*(Receitas!W7)))</f>
        <v>4410.8361023045227</v>
      </c>
      <c r="X32" s="87">
        <f>(IF(X7="Lucro Real",X30+X31,X33*(Receitas!X7)))</f>
        <v>4421.8116354235708</v>
      </c>
      <c r="Y32" s="87">
        <f>(IF(Y7="Lucro Real",Y30+Y31,Y33*(Receitas!Y7)))</f>
        <v>4432.8244853552251</v>
      </c>
      <c r="Z32" s="87">
        <f>(IF(Z7="Lucro Real",Z30+Z31,Z33*(Receitas!Z7)))</f>
        <v>4443.8747789766467</v>
      </c>
      <c r="AA32" s="87">
        <f>(IF(AA7="Lucro Real",AA30+AA31,AA33*(Receitas!AA7)))</f>
        <v>4454.9626435963801</v>
      </c>
      <c r="AB32" s="87">
        <f>(IF(AB7="Lucro Real",AB30+AB31,AB33*(Receitas!AB7)))</f>
        <v>4466.088206955822</v>
      </c>
      <c r="AC32" s="87">
        <f>(IF(AC7="Lucro Real",AC30+AC31,AC33*(Receitas!AC7)))</f>
        <v>4477.2515972306846</v>
      </c>
      <c r="AD32" s="87">
        <f>(IF(AD7="Lucro Real",AD30+AD31,AD33*(Receitas!AD7)))</f>
        <v>4488.4529430324837</v>
      </c>
      <c r="AE32" s="87">
        <f>(IF(AE7="Lucro Real",AE30+AE31,AE33*(Receitas!AE7)))</f>
        <v>4499.6923734100073</v>
      </c>
      <c r="AF32" s="87">
        <f>(IF(AF7="Lucro Real",AF30+AF31,AF33*(Receitas!AF7)))</f>
        <v>4510.9700178508147</v>
      </c>
      <c r="AG32" s="87">
        <f>(IF(AG7="Lucro Real",AG30+AG31,AG33*(Receitas!AG7)))</f>
        <v>4522.2860062827203</v>
      </c>
      <c r="AH32" s="87">
        <f>(IF(AH7="Lucro Real",AH30+AH31,AH33*(Receitas!AH7)))</f>
        <v>4533.6404690752961</v>
      </c>
      <c r="AI32" s="87">
        <f>(IF(AI7="Lucro Real",AI30+AI31,AI33*(Receitas!AI7))+AI60)</f>
        <v>0</v>
      </c>
      <c r="AJ32" s="87">
        <f>(IF(AJ7="Lucro Real",AJ30+AJ31,AJ33*(Receitas!AJ7))+AJ60)</f>
        <v>0</v>
      </c>
      <c r="AK32" s="87">
        <f>(IF(AK7="Lucro Real",AK30+AK31,AK33*(Receitas!AK7))+AK60)</f>
        <v>0</v>
      </c>
      <c r="AL32" s="87">
        <f>(IF(AL7="Lucro Real",AL30+AL31,AL33*(Receitas!AL7))+AL60)</f>
        <v>0</v>
      </c>
      <c r="AM32" s="87">
        <f>(IF(AM7="Lucro Real",AM30+AM31,AM33*(Receitas!AM7))+AM60)</f>
        <v>0</v>
      </c>
      <c r="AN32" s="40">
        <f t="shared" ref="AN32" si="37">AN46</f>
        <v>0</v>
      </c>
    </row>
    <row r="33" spans="1:40" ht="12" customHeight="1">
      <c r="A33" s="85" t="s">
        <v>431</v>
      </c>
      <c r="B33" s="60"/>
      <c r="C33" s="60"/>
      <c r="D33" s="86"/>
      <c r="E33" s="205">
        <v>0.32</v>
      </c>
      <c r="F33" s="205">
        <v>0.32</v>
      </c>
      <c r="G33" s="205">
        <v>0.32</v>
      </c>
      <c r="H33" s="205">
        <v>0.32</v>
      </c>
      <c r="I33" s="205">
        <v>0.32</v>
      </c>
      <c r="J33" s="205">
        <v>0.32</v>
      </c>
      <c r="K33" s="205">
        <v>0.32</v>
      </c>
      <c r="L33" s="205">
        <v>0.32</v>
      </c>
      <c r="M33" s="205">
        <v>0.32</v>
      </c>
      <c r="N33" s="205">
        <v>0.32</v>
      </c>
      <c r="O33" s="205">
        <v>0.32</v>
      </c>
      <c r="P33" s="205">
        <v>0.32</v>
      </c>
      <c r="Q33" s="205">
        <v>0.32</v>
      </c>
      <c r="R33" s="205">
        <v>0.32</v>
      </c>
      <c r="S33" s="205">
        <v>0.32</v>
      </c>
      <c r="T33" s="205">
        <v>0.32</v>
      </c>
      <c r="U33" s="205">
        <v>0.32</v>
      </c>
      <c r="V33" s="205">
        <v>0.32</v>
      </c>
      <c r="W33" s="205">
        <v>0.32</v>
      </c>
      <c r="X33" s="205">
        <v>0.32</v>
      </c>
      <c r="Y33" s="205">
        <v>0.32</v>
      </c>
      <c r="Z33" s="205">
        <v>0.32</v>
      </c>
      <c r="AA33" s="205">
        <v>0.32</v>
      </c>
      <c r="AB33" s="205">
        <v>0.32</v>
      </c>
      <c r="AC33" s="205">
        <v>0.32</v>
      </c>
      <c r="AD33" s="205">
        <v>0.32</v>
      </c>
      <c r="AE33" s="205">
        <v>0.32</v>
      </c>
      <c r="AF33" s="205">
        <v>0.32</v>
      </c>
      <c r="AG33" s="205">
        <v>0.32</v>
      </c>
      <c r="AH33" s="205">
        <v>0.32</v>
      </c>
      <c r="AI33" s="205">
        <v>0.32</v>
      </c>
      <c r="AJ33" s="205">
        <v>0.32</v>
      </c>
      <c r="AK33" s="205">
        <v>0.32</v>
      </c>
      <c r="AL33" s="205">
        <v>0.32</v>
      </c>
      <c r="AM33" s="205">
        <v>0.32</v>
      </c>
      <c r="AN33" s="40">
        <f t="shared" ref="AN33" si="38">AN47</f>
        <v>0</v>
      </c>
    </row>
    <row r="34" spans="1:40" ht="12" customHeight="1">
      <c r="A34" s="88"/>
      <c r="B34" s="60"/>
      <c r="C34" s="60"/>
      <c r="D34" s="89"/>
      <c r="E34" s="91"/>
      <c r="F34" s="91"/>
      <c r="G34" s="84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40">
        <f t="shared" ref="AN34" si="39">AN48</f>
        <v>0</v>
      </c>
    </row>
    <row r="35" spans="1:40" ht="12" customHeight="1">
      <c r="A35" s="88" t="s">
        <v>432</v>
      </c>
      <c r="B35" s="60"/>
      <c r="C35" s="60"/>
      <c r="D35" s="60"/>
      <c r="E35" s="34">
        <f t="shared" ref="E35:AA35" si="40">D37</f>
        <v>0</v>
      </c>
      <c r="F35" s="34">
        <f t="shared" si="40"/>
        <v>0</v>
      </c>
      <c r="G35" s="34">
        <f t="shared" si="40"/>
        <v>0</v>
      </c>
      <c r="H35" s="34">
        <f t="shared" si="40"/>
        <v>0</v>
      </c>
      <c r="I35" s="34">
        <f t="shared" si="40"/>
        <v>0</v>
      </c>
      <c r="J35" s="34">
        <f t="shared" si="40"/>
        <v>0</v>
      </c>
      <c r="K35" s="34">
        <f t="shared" si="40"/>
        <v>0</v>
      </c>
      <c r="L35" s="34">
        <f t="shared" si="40"/>
        <v>0</v>
      </c>
      <c r="M35" s="34">
        <f t="shared" si="40"/>
        <v>0</v>
      </c>
      <c r="N35" s="34">
        <f t="shared" si="40"/>
        <v>0</v>
      </c>
      <c r="O35" s="34">
        <f t="shared" si="40"/>
        <v>0</v>
      </c>
      <c r="P35" s="34">
        <f t="shared" si="40"/>
        <v>0</v>
      </c>
      <c r="Q35" s="34">
        <f t="shared" si="40"/>
        <v>0</v>
      </c>
      <c r="R35" s="34">
        <f t="shared" si="40"/>
        <v>0</v>
      </c>
      <c r="S35" s="34">
        <f t="shared" si="40"/>
        <v>0</v>
      </c>
      <c r="T35" s="34">
        <f t="shared" si="40"/>
        <v>0</v>
      </c>
      <c r="U35" s="34">
        <f t="shared" si="40"/>
        <v>0</v>
      </c>
      <c r="V35" s="34">
        <f t="shared" si="40"/>
        <v>0</v>
      </c>
      <c r="W35" s="34">
        <f t="shared" si="40"/>
        <v>0</v>
      </c>
      <c r="X35" s="34">
        <f t="shared" si="40"/>
        <v>0</v>
      </c>
      <c r="Y35" s="34">
        <f t="shared" si="40"/>
        <v>0</v>
      </c>
      <c r="Z35" s="34">
        <f t="shared" si="40"/>
        <v>0</v>
      </c>
      <c r="AA35" s="34">
        <f t="shared" si="40"/>
        <v>0</v>
      </c>
      <c r="AB35" s="34">
        <f t="shared" ref="AB35" si="41">AA37</f>
        <v>0</v>
      </c>
      <c r="AC35" s="34">
        <f t="shared" ref="AC35" si="42">AB37</f>
        <v>0</v>
      </c>
      <c r="AD35" s="34">
        <f t="shared" ref="AD35" si="43">AC37</f>
        <v>0</v>
      </c>
      <c r="AE35" s="34">
        <f t="shared" ref="AE35" si="44">AD37</f>
        <v>0</v>
      </c>
      <c r="AF35" s="34">
        <f t="shared" ref="AF35" si="45">AE37</f>
        <v>0</v>
      </c>
      <c r="AG35" s="34">
        <f t="shared" ref="AG35" si="46">AF37</f>
        <v>0</v>
      </c>
      <c r="AH35" s="34">
        <f t="shared" ref="AH35" si="47">AG37</f>
        <v>0</v>
      </c>
      <c r="AI35" s="34">
        <f t="shared" ref="AI35" si="48">AH37</f>
        <v>0</v>
      </c>
      <c r="AJ35" s="34">
        <f t="shared" ref="AJ35" si="49">AI37</f>
        <v>0</v>
      </c>
      <c r="AK35" s="34">
        <f t="shared" ref="AK35" si="50">AJ37</f>
        <v>0</v>
      </c>
      <c r="AL35" s="34">
        <f t="shared" ref="AL35" si="51">AK37</f>
        <v>0</v>
      </c>
      <c r="AM35" s="34">
        <f t="shared" ref="AM35" si="52">AL37</f>
        <v>0</v>
      </c>
      <c r="AN35" s="40">
        <f t="shared" ref="AN35" si="53">AN49</f>
        <v>0</v>
      </c>
    </row>
    <row r="36" spans="1:40" ht="12" customHeight="1">
      <c r="A36" s="88" t="s">
        <v>433</v>
      </c>
      <c r="B36" s="60"/>
      <c r="C36" s="60"/>
      <c r="D36" s="60"/>
      <c r="E36" s="34">
        <f>IF(E32&lt;=0,0,MIN(E32*Painel!$C$32,E35))</f>
        <v>0</v>
      </c>
      <c r="F36" s="34">
        <f>IF(F32&lt;=0,0,MIN(F32*Painel!$C$32,F35))</f>
        <v>0</v>
      </c>
      <c r="G36" s="34">
        <f>IF(G32&lt;=0,0,MIN(G32*Painel!$C$32,G35))</f>
        <v>0</v>
      </c>
      <c r="H36" s="34">
        <f>IF(H32&lt;=0,0,MIN(H32*Painel!$C$32,H35))</f>
        <v>0</v>
      </c>
      <c r="I36" s="34">
        <f>IF(I32&lt;=0,0,MIN(I32*Painel!$C$32,I35))</f>
        <v>0</v>
      </c>
      <c r="J36" s="34">
        <f>IF(J32&lt;=0,0,MIN(J32*Painel!$C$32,J35))</f>
        <v>0</v>
      </c>
      <c r="K36" s="34">
        <f>IF(K32&lt;=0,0,MIN(K32*Painel!$C$32,K35))</f>
        <v>0</v>
      </c>
      <c r="L36" s="34">
        <f>IF(L32&lt;=0,0,MIN(L32*Painel!$C$32,L35))</f>
        <v>0</v>
      </c>
      <c r="M36" s="34">
        <f>IF(M32&lt;=0,0,MIN(M32*Painel!$C$32,M35))</f>
        <v>0</v>
      </c>
      <c r="N36" s="34">
        <f>IF(N32&lt;=0,0,MIN(N32*Painel!$C$32,N35))</f>
        <v>0</v>
      </c>
      <c r="O36" s="34">
        <f>IF(O32&lt;=0,0,MIN(O32*Painel!$C$32,O35))</f>
        <v>0</v>
      </c>
      <c r="P36" s="34">
        <f>IF(P32&lt;=0,0,MIN(P32*Painel!$C$32,P35))</f>
        <v>0</v>
      </c>
      <c r="Q36" s="34">
        <f>IF(Q32&lt;=0,0,MIN(Q32*Painel!$C$32,Q35))</f>
        <v>0</v>
      </c>
      <c r="R36" s="34">
        <f>IF(R32&lt;=0,0,MIN(R32*Painel!$C$32,R35))</f>
        <v>0</v>
      </c>
      <c r="S36" s="34">
        <f>IF(S32&lt;=0,0,MIN(S32*Painel!$C$32,S35))</f>
        <v>0</v>
      </c>
      <c r="T36" s="34">
        <f>IF(T32&lt;=0,0,MIN(T32*Painel!$C$32,T35))</f>
        <v>0</v>
      </c>
      <c r="U36" s="34">
        <f>IF(U32&lt;=0,0,MIN(U32*Painel!$C$32,U35))</f>
        <v>0</v>
      </c>
      <c r="V36" s="34">
        <f>IF(V32&lt;=0,0,MIN(V32*Painel!$C$32,V35))</f>
        <v>0</v>
      </c>
      <c r="W36" s="34">
        <f>IF(W32&lt;=0,0,MIN(W32*Painel!$C$32,W35))</f>
        <v>0</v>
      </c>
      <c r="X36" s="34">
        <f>IF(X32&lt;=0,0,MIN(X32*Painel!$C$32,X35))</f>
        <v>0</v>
      </c>
      <c r="Y36" s="34">
        <f>IF(Y32&lt;=0,0,MIN(Y32*Painel!$C$32,Y35))</f>
        <v>0</v>
      </c>
      <c r="Z36" s="34">
        <f>IF(Z32&lt;=0,0,MIN(Z32*Painel!$C$32,Z35))</f>
        <v>0</v>
      </c>
      <c r="AA36" s="34">
        <f>IF(AA32&lt;=0,0,MIN(AA32*Painel!$C$32,AA35))</f>
        <v>0</v>
      </c>
      <c r="AB36" s="34">
        <f>IF(AB32&lt;=0,0,MIN(AB32*Painel!$C$32,AB35))</f>
        <v>0</v>
      </c>
      <c r="AC36" s="34">
        <f>IF(AC32&lt;=0,0,MIN(AC32*Painel!$C$32,AC35))</f>
        <v>0</v>
      </c>
      <c r="AD36" s="34">
        <f>IF(AD32&lt;=0,0,MIN(AD32*Painel!$C$32,AD35))</f>
        <v>0</v>
      </c>
      <c r="AE36" s="34">
        <f>IF(AE32&lt;=0,0,MIN(AE32*Painel!$C$32,AE35))</f>
        <v>0</v>
      </c>
      <c r="AF36" s="34">
        <f>IF(AF32&lt;=0,0,MIN(AF32*Painel!$C$32,AF35))</f>
        <v>0</v>
      </c>
      <c r="AG36" s="34">
        <f>IF(AG32&lt;=0,0,MIN(AG32*Painel!$C$32,AG35))</f>
        <v>0</v>
      </c>
      <c r="AH36" s="34">
        <f>IF(AH32&lt;=0,0,MIN(AH32*Painel!$C$32,AH35))</f>
        <v>0</v>
      </c>
      <c r="AI36" s="34">
        <f>IF(AI32&lt;=0,0,MIN(AI32*Painel!$C$32,AI35))</f>
        <v>0</v>
      </c>
      <c r="AJ36" s="34">
        <f>IF(AJ32&lt;=0,0,MIN(AJ32*Painel!$C$32,AJ35))</f>
        <v>0</v>
      </c>
      <c r="AK36" s="34">
        <f>IF(AK32&lt;=0,0,MIN(AK32*Painel!$C$32,AK35))</f>
        <v>0</v>
      </c>
      <c r="AL36" s="34">
        <f>IF(AL32&lt;=0,0,MIN(AL32*Painel!$C$32,AL35))</f>
        <v>0</v>
      </c>
      <c r="AM36" s="34">
        <f>IF(AM32&lt;=0,0,MIN(AM32*Painel!$C$32,AM35))</f>
        <v>0</v>
      </c>
      <c r="AN36" s="40">
        <f t="shared" ref="AN36" si="54">AN50</f>
        <v>0</v>
      </c>
    </row>
    <row r="37" spans="1:40" ht="12" customHeight="1">
      <c r="A37" s="88" t="s">
        <v>434</v>
      </c>
      <c r="B37" s="60"/>
      <c r="C37" s="60"/>
      <c r="D37" s="92">
        <v>0</v>
      </c>
      <c r="E37" s="34">
        <f t="shared" ref="E37:AM37" si="55">E35+IF(E32&gt;=0,0,-E32)-E36</f>
        <v>0</v>
      </c>
      <c r="F37" s="34">
        <f t="shared" si="55"/>
        <v>0</v>
      </c>
      <c r="G37" s="34">
        <f t="shared" si="55"/>
        <v>0</v>
      </c>
      <c r="H37" s="34">
        <f t="shared" si="55"/>
        <v>0</v>
      </c>
      <c r="I37" s="34">
        <f t="shared" si="55"/>
        <v>0</v>
      </c>
      <c r="J37" s="34">
        <f t="shared" si="55"/>
        <v>0</v>
      </c>
      <c r="K37" s="34">
        <f t="shared" si="55"/>
        <v>0</v>
      </c>
      <c r="L37" s="34">
        <f t="shared" si="55"/>
        <v>0</v>
      </c>
      <c r="M37" s="34">
        <f t="shared" si="55"/>
        <v>0</v>
      </c>
      <c r="N37" s="34">
        <f t="shared" si="55"/>
        <v>0</v>
      </c>
      <c r="O37" s="34">
        <f t="shared" si="55"/>
        <v>0</v>
      </c>
      <c r="P37" s="34">
        <f t="shared" si="55"/>
        <v>0</v>
      </c>
      <c r="Q37" s="34">
        <f t="shared" si="55"/>
        <v>0</v>
      </c>
      <c r="R37" s="34">
        <f t="shared" si="55"/>
        <v>0</v>
      </c>
      <c r="S37" s="34">
        <f t="shared" si="55"/>
        <v>0</v>
      </c>
      <c r="T37" s="34">
        <f t="shared" si="55"/>
        <v>0</v>
      </c>
      <c r="U37" s="34">
        <f t="shared" si="55"/>
        <v>0</v>
      </c>
      <c r="V37" s="34">
        <f t="shared" si="55"/>
        <v>0</v>
      </c>
      <c r="W37" s="34">
        <f t="shared" si="55"/>
        <v>0</v>
      </c>
      <c r="X37" s="34">
        <f t="shared" si="55"/>
        <v>0</v>
      </c>
      <c r="Y37" s="34">
        <f t="shared" si="55"/>
        <v>0</v>
      </c>
      <c r="Z37" s="34">
        <f t="shared" si="55"/>
        <v>0</v>
      </c>
      <c r="AA37" s="34">
        <f t="shared" si="55"/>
        <v>0</v>
      </c>
      <c r="AB37" s="34">
        <f t="shared" si="55"/>
        <v>0</v>
      </c>
      <c r="AC37" s="34">
        <f t="shared" si="55"/>
        <v>0</v>
      </c>
      <c r="AD37" s="34">
        <f t="shared" si="55"/>
        <v>0</v>
      </c>
      <c r="AE37" s="34">
        <f t="shared" si="55"/>
        <v>0</v>
      </c>
      <c r="AF37" s="34">
        <f t="shared" si="55"/>
        <v>0</v>
      </c>
      <c r="AG37" s="34">
        <f t="shared" si="55"/>
        <v>0</v>
      </c>
      <c r="AH37" s="34">
        <f t="shared" si="55"/>
        <v>0</v>
      </c>
      <c r="AI37" s="34">
        <f t="shared" si="55"/>
        <v>0</v>
      </c>
      <c r="AJ37" s="34">
        <f t="shared" si="55"/>
        <v>0</v>
      </c>
      <c r="AK37" s="34">
        <f t="shared" si="55"/>
        <v>0</v>
      </c>
      <c r="AL37" s="34">
        <f t="shared" si="55"/>
        <v>0</v>
      </c>
      <c r="AM37" s="34">
        <f t="shared" si="55"/>
        <v>0</v>
      </c>
      <c r="AN37" s="40">
        <f t="shared" ref="AN37" si="56">AN51</f>
        <v>0</v>
      </c>
    </row>
    <row r="38" spans="1:40" ht="12" customHeight="1">
      <c r="A38" s="88"/>
      <c r="B38" s="60"/>
      <c r="C38" s="60"/>
      <c r="D38" s="60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40">
        <f t="shared" ref="AN38" si="57">AN52</f>
        <v>0</v>
      </c>
    </row>
    <row r="39" spans="1:40" ht="12" customHeight="1">
      <c r="A39" s="88" t="s">
        <v>435</v>
      </c>
      <c r="B39" s="60"/>
      <c r="C39" s="60"/>
      <c r="D39" s="46"/>
      <c r="E39" s="34">
        <f t="shared" ref="E39:Z39" si="58">SUM(E40:E41)</f>
        <v>-426.47571942176597</v>
      </c>
      <c r="F39" s="34">
        <f t="shared" si="58"/>
        <v>-769.09511778900014</v>
      </c>
      <c r="G39" s="34">
        <f t="shared" si="58"/>
        <v>-1036.0501941787802</v>
      </c>
      <c r="H39" s="34">
        <f t="shared" si="58"/>
        <v>-1038.6490374317914</v>
      </c>
      <c r="I39" s="34">
        <f t="shared" si="58"/>
        <v>-1041.2567167518628</v>
      </c>
      <c r="J39" s="34">
        <f t="shared" si="58"/>
        <v>-1043.8732621816227</v>
      </c>
      <c r="K39" s="34">
        <f t="shared" si="58"/>
        <v>-1046.4987038658437</v>
      </c>
      <c r="L39" s="34">
        <f t="shared" si="58"/>
        <v>-1049.133072051791</v>
      </c>
      <c r="M39" s="34">
        <f t="shared" si="58"/>
        <v>-1051.7763970895703</v>
      </c>
      <c r="N39" s="34">
        <f t="shared" si="58"/>
        <v>-1054.4287094324782</v>
      </c>
      <c r="O39" s="34">
        <f t="shared" si="58"/>
        <v>-1057.0900396373522</v>
      </c>
      <c r="P39" s="34">
        <f t="shared" si="58"/>
        <v>-1059.7604183649225</v>
      </c>
      <c r="Q39" s="34">
        <f t="shared" si="58"/>
        <v>-1062.4398763801667</v>
      </c>
      <c r="R39" s="34">
        <f t="shared" si="58"/>
        <v>-1065.1284445526628</v>
      </c>
      <c r="S39" s="34">
        <f t="shared" si="58"/>
        <v>-1067.826153856945</v>
      </c>
      <c r="T39" s="34">
        <f t="shared" si="58"/>
        <v>-1070.5330353728621</v>
      </c>
      <c r="U39" s="34">
        <f t="shared" si="58"/>
        <v>-1073.2491202859333</v>
      </c>
      <c r="V39" s="34">
        <f t="shared" si="58"/>
        <v>-1075.974439887709</v>
      </c>
      <c r="W39" s="34">
        <f t="shared" si="58"/>
        <v>-1078.7090255761307</v>
      </c>
      <c r="X39" s="34">
        <f t="shared" si="58"/>
        <v>-1081.4529088558927</v>
      </c>
      <c r="Y39" s="34">
        <f t="shared" si="58"/>
        <v>-1084.2061213388063</v>
      </c>
      <c r="Z39" s="34">
        <f t="shared" si="58"/>
        <v>-1086.9686947441617</v>
      </c>
      <c r="AA39" s="34">
        <f t="shared" ref="AA39:AM39" si="59">SUM(AA40:AA41)</f>
        <v>-1089.740660899095</v>
      </c>
      <c r="AB39" s="34">
        <f t="shared" si="59"/>
        <v>-1092.5220517389555</v>
      </c>
      <c r="AC39" s="34">
        <f t="shared" si="59"/>
        <v>-1095.3128993076712</v>
      </c>
      <c r="AD39" s="34">
        <f t="shared" si="59"/>
        <v>-1098.1132357581209</v>
      </c>
      <c r="AE39" s="34">
        <f t="shared" si="59"/>
        <v>-1100.9230933525018</v>
      </c>
      <c r="AF39" s="34">
        <f t="shared" si="59"/>
        <v>-1103.7425044627037</v>
      </c>
      <c r="AG39" s="34">
        <f t="shared" si="59"/>
        <v>-1106.5715015706801</v>
      </c>
      <c r="AH39" s="34">
        <f t="shared" si="59"/>
        <v>-1109.410117268824</v>
      </c>
      <c r="AI39" s="34">
        <f t="shared" si="59"/>
        <v>0</v>
      </c>
      <c r="AJ39" s="34">
        <f t="shared" si="59"/>
        <v>0</v>
      </c>
      <c r="AK39" s="34">
        <f t="shared" si="59"/>
        <v>0</v>
      </c>
      <c r="AL39" s="34">
        <f t="shared" si="59"/>
        <v>0</v>
      </c>
      <c r="AM39" s="34">
        <f t="shared" si="59"/>
        <v>0</v>
      </c>
      <c r="AN39" s="40">
        <f t="shared" ref="AN39" si="60">AN53</f>
        <v>0</v>
      </c>
    </row>
    <row r="40" spans="1:40" ht="12" customHeight="1">
      <c r="A40" s="94" t="s">
        <v>436</v>
      </c>
      <c r="B40" s="56"/>
      <c r="C40" s="56"/>
      <c r="D40" s="40"/>
      <c r="E40" s="40">
        <f>IF((E32-E36)&lt;=0,0,-Painel!$C$28*(E32-E36))</f>
        <v>-270.28543165305956</v>
      </c>
      <c r="F40" s="40">
        <f>IF((F32-F36)&lt;=0,0,-Painel!$C$28*(F32-F36))</f>
        <v>-475.85707067340007</v>
      </c>
      <c r="G40" s="40">
        <f>IF((G32-G36)&lt;=0,0,-Painel!$C$28*(G32-G36))</f>
        <v>-636.03011650726808</v>
      </c>
      <c r="H40" s="40">
        <f>IF((H32-H36)&lt;=0,0,-Painel!$C$28*(H32-H36))</f>
        <v>-637.58942245907485</v>
      </c>
      <c r="I40" s="40">
        <f>IF((I32-I36)&lt;=0,0,-Painel!$C$28*(I32-I36))</f>
        <v>-639.15403005111762</v>
      </c>
      <c r="J40" s="40">
        <f>IF((J32-J36)&lt;=0,0,-Painel!$C$28*(J32-J36))</f>
        <v>-640.72395730897358</v>
      </c>
      <c r="K40" s="40">
        <f>IF((K32-K36)&lt;=0,0,-Painel!$C$28*(K32-K36))</f>
        <v>-642.29922231950616</v>
      </c>
      <c r="L40" s="40">
        <f>IF((L32-L36)&lt;=0,0,-Painel!$C$28*(L32-L36))</f>
        <v>-643.87984323107457</v>
      </c>
      <c r="M40" s="40">
        <f>IF((M32-M36)&lt;=0,0,-Painel!$C$28*(M32-M36))</f>
        <v>-645.46583825374216</v>
      </c>
      <c r="N40" s="40">
        <f>IF((N32-N36)&lt;=0,0,-Painel!$C$28*(N32-N36))</f>
        <v>-647.0572256594869</v>
      </c>
      <c r="O40" s="40">
        <f>IF((O32-O36)&lt;=0,0,-Painel!$C$28*(O32-O36))</f>
        <v>-648.65402378241129</v>
      </c>
      <c r="P40" s="40">
        <f>IF((P32-P36)&lt;=0,0,-Painel!$C$28*(P32-P36))</f>
        <v>-650.25625101895355</v>
      </c>
      <c r="Q40" s="40">
        <f>IF((Q32-Q36)&lt;=0,0,-Painel!$C$28*(Q32-Q36))</f>
        <v>-651.86392582809992</v>
      </c>
      <c r="R40" s="40">
        <f>IF((R32-R36)&lt;=0,0,-Painel!$C$28*(R32-R36))</f>
        <v>-653.47706673159769</v>
      </c>
      <c r="S40" s="40">
        <f>IF((S32-S36)&lt;=0,0,-Painel!$C$28*(S32-S36))</f>
        <v>-655.09569231416697</v>
      </c>
      <c r="T40" s="40">
        <f>IF((T32-T36)&lt;=0,0,-Painel!$C$28*(T32-T36))</f>
        <v>-656.71982122371719</v>
      </c>
      <c r="U40" s="40">
        <f>IF((U32-U36)&lt;=0,0,-Painel!$C$28*(U32-U36))</f>
        <v>-658.34947217155991</v>
      </c>
      <c r="V40" s="40">
        <f>IF((V32-V36)&lt;=0,0,-Painel!$C$28*(V32-V36))</f>
        <v>-659.98466393262538</v>
      </c>
      <c r="W40" s="40">
        <f>IF((W32-W36)&lt;=0,0,-Painel!$C$28*(W32-W36))</f>
        <v>-661.62541534567833</v>
      </c>
      <c r="X40" s="40">
        <f>IF((X32-X36)&lt;=0,0,-Painel!$C$28*(X32-X36))</f>
        <v>-663.27174531353558</v>
      </c>
      <c r="Y40" s="40">
        <f>IF((Y32-Y36)&lt;=0,0,-Painel!$C$28*(Y32-Y36))</f>
        <v>-664.92367280328369</v>
      </c>
      <c r="Z40" s="40">
        <f>IF((Z32-Z36)&lt;=0,0,-Painel!$C$28*(Z32-Z36))</f>
        <v>-666.581216846497</v>
      </c>
      <c r="AA40" s="40">
        <f>IF((AA32-AA36)&lt;=0,0,-Painel!$C$28*(AA32-AA36))</f>
        <v>-668.24439653945694</v>
      </c>
      <c r="AB40" s="40">
        <f>IF((AB32-AB36)&lt;=0,0,-Painel!$C$28*(AB32-AB36))</f>
        <v>-669.91323104337323</v>
      </c>
      <c r="AC40" s="40">
        <f>IF((AC32-AC36)&lt;=0,0,-Painel!$C$28*(AC32-AC36))</f>
        <v>-671.58773958460267</v>
      </c>
      <c r="AD40" s="40">
        <f>IF((AD32-AD36)&lt;=0,0,-Painel!$C$28*(AD32-AD36))</f>
        <v>-673.26794145487258</v>
      </c>
      <c r="AE40" s="40">
        <f>IF((AE32-AE36)&lt;=0,0,-Painel!$C$28*(AE32-AE36))</f>
        <v>-674.9538560115011</v>
      </c>
      <c r="AF40" s="40">
        <f>IF((AF32-AF36)&lt;=0,0,-Painel!$C$28*(AF32-AF36))</f>
        <v>-676.64550267762218</v>
      </c>
      <c r="AG40" s="40">
        <f>IF((AG32-AG36)&lt;=0,0,-Painel!$C$28*(AG32-AG36))</f>
        <v>-678.34290094240805</v>
      </c>
      <c r="AH40" s="40">
        <f>IF((AH32-AH36)&lt;=0,0,-Painel!$C$28*(AH32-AH36))</f>
        <v>-680.04607036129437</v>
      </c>
      <c r="AI40" s="40">
        <f>IF((AI32-AI36)&lt;=0,0,-Painel!$C$28*(AI32-AI36))</f>
        <v>0</v>
      </c>
      <c r="AJ40" s="40">
        <f>IF((AJ32-AJ36)&lt;=0,0,-Painel!$C$28*(AJ32-AJ36))</f>
        <v>0</v>
      </c>
      <c r="AK40" s="40">
        <f>IF((AK32-AK36)&lt;=0,0,-Painel!$C$28*(AK32-AK36))</f>
        <v>0</v>
      </c>
      <c r="AL40" s="40">
        <f>IF((AL32-AL36)&lt;=0,0,-Painel!$C$28*(AL32-AL36))</f>
        <v>0</v>
      </c>
      <c r="AM40" s="40">
        <f>IF((AM32-AM36)&lt;=0,0,-Painel!$C$28*(AM32-AM36))</f>
        <v>0</v>
      </c>
      <c r="AN40" s="40">
        <f t="shared" ref="AN40" si="61">AN54</f>
        <v>0</v>
      </c>
    </row>
    <row r="41" spans="1:40" ht="12" customHeight="1">
      <c r="A41" s="94" t="s">
        <v>437</v>
      </c>
      <c r="B41" s="56"/>
      <c r="C41" s="56"/>
      <c r="D41" s="40"/>
      <c r="E41" s="40">
        <f>IF((E32-E36)&lt;=Painel!$C$29,0,-Painel!$C$30*(E32-E36-Painel!$C$29))</f>
        <v>-156.19028776870641</v>
      </c>
      <c r="F41" s="40">
        <f>IF((F32-F36)&lt;=Painel!$C$29,0,-Painel!$C$30*(F32-F36-Painel!$C$29))</f>
        <v>-293.23804711560007</v>
      </c>
      <c r="G41" s="40">
        <f>IF((G32-G36)&lt;=Painel!$C$29,0,-Painel!$C$30*(G32-G36-Painel!$C$29))</f>
        <v>-400.02007767151213</v>
      </c>
      <c r="H41" s="40">
        <f>IF((H32-H36)&lt;=Painel!$C$29,0,-Painel!$C$30*(H32-H36-Painel!$C$29))</f>
        <v>-401.05961497271659</v>
      </c>
      <c r="I41" s="40">
        <f>IF((I32-I36)&lt;=Painel!$C$29,0,-Painel!$C$30*(I32-I36-Painel!$C$29))</f>
        <v>-402.10268670074515</v>
      </c>
      <c r="J41" s="40">
        <f>IF((J32-J36)&lt;=Painel!$C$29,0,-Painel!$C$30*(J32-J36-Painel!$C$29))</f>
        <v>-403.14930487264911</v>
      </c>
      <c r="K41" s="40">
        <f>IF((K32-K36)&lt;=Painel!$C$29,0,-Painel!$C$30*(K32-K36-Painel!$C$29))</f>
        <v>-404.19948154633749</v>
      </c>
      <c r="L41" s="40">
        <f>IF((L32-L36)&lt;=Painel!$C$29,0,-Painel!$C$30*(L32-L36-Painel!$C$29))</f>
        <v>-405.25322882071646</v>
      </c>
      <c r="M41" s="40">
        <f>IF((M32-M36)&lt;=Painel!$C$29,0,-Painel!$C$30*(M32-M36-Painel!$C$29))</f>
        <v>-406.31055883582815</v>
      </c>
      <c r="N41" s="40">
        <f>IF((N32-N36)&lt;=Painel!$C$29,0,-Painel!$C$30*(N32-N36-Painel!$C$29))</f>
        <v>-407.37148377299127</v>
      </c>
      <c r="O41" s="40">
        <f>IF((O32-O36)&lt;=Painel!$C$29,0,-Painel!$C$30*(O32-O36-Painel!$C$29))</f>
        <v>-408.43601585494093</v>
      </c>
      <c r="P41" s="40">
        <f>IF((P32-P36)&lt;=Painel!$C$29,0,-Painel!$C$30*(P32-P36-Painel!$C$29))</f>
        <v>-409.50416734596905</v>
      </c>
      <c r="Q41" s="40">
        <f>IF((Q32-Q36)&lt;=Painel!$C$29,0,-Painel!$C$30*(Q32-Q36-Painel!$C$29))</f>
        <v>-410.57595055206667</v>
      </c>
      <c r="R41" s="40">
        <f>IF((R32-R36)&lt;=Painel!$C$29,0,-Painel!$C$30*(R32-R36-Painel!$C$29))</f>
        <v>-411.65137782106513</v>
      </c>
      <c r="S41" s="40">
        <f>IF((S32-S36)&lt;=Painel!$C$29,0,-Painel!$C$30*(S32-S36-Painel!$C$29))</f>
        <v>-412.73046154277802</v>
      </c>
      <c r="T41" s="40">
        <f>IF((T32-T36)&lt;=Painel!$C$29,0,-Painel!$C$30*(T32-T36-Painel!$C$29))</f>
        <v>-413.81321414914487</v>
      </c>
      <c r="U41" s="40">
        <f>IF((U32-U36)&lt;=Painel!$C$29,0,-Painel!$C$30*(U32-U36-Painel!$C$29))</f>
        <v>-414.89964811437335</v>
      </c>
      <c r="V41" s="40">
        <f>IF((V32-V36)&lt;=Painel!$C$29,0,-Painel!$C$30*(V32-V36-Painel!$C$29))</f>
        <v>-415.98977595508359</v>
      </c>
      <c r="W41" s="40">
        <f>IF((W32-W36)&lt;=Painel!$C$29,0,-Painel!$C$30*(W32-W36-Painel!$C$29))</f>
        <v>-417.08361023045228</v>
      </c>
      <c r="X41" s="40">
        <f>IF((X32-X36)&lt;=Painel!$C$29,0,-Painel!$C$30*(X32-X36-Painel!$C$29))</f>
        <v>-418.18116354235713</v>
      </c>
      <c r="Y41" s="40">
        <f>IF((Y32-Y36)&lt;=Painel!$C$29,0,-Painel!$C$30*(Y32-Y36-Painel!$C$29))</f>
        <v>-419.28244853552252</v>
      </c>
      <c r="Z41" s="40">
        <f>IF((Z32-Z36)&lt;=Painel!$C$29,0,-Painel!$C$30*(Z32-Z36-Painel!$C$29))</f>
        <v>-420.38747789766467</v>
      </c>
      <c r="AA41" s="40">
        <f>IF((AA32-AA36)&lt;=Painel!$C$29,0,-Painel!$C$30*(AA32-AA36-Painel!$C$29))</f>
        <v>-421.49626435963802</v>
      </c>
      <c r="AB41" s="40">
        <f>IF((AB32-AB36)&lt;=Painel!$C$29,0,-Painel!$C$30*(AB32-AB36-Painel!$C$29))</f>
        <v>-422.60882069558221</v>
      </c>
      <c r="AC41" s="40">
        <f>IF((AC32-AC36)&lt;=Painel!$C$29,0,-Painel!$C$30*(AC32-AC36-Painel!$C$29))</f>
        <v>-423.72515972306849</v>
      </c>
      <c r="AD41" s="40">
        <f>IF((AD32-AD36)&lt;=Painel!$C$29,0,-Painel!$C$30*(AD32-AD36-Painel!$C$29))</f>
        <v>-424.84529430324841</v>
      </c>
      <c r="AE41" s="40">
        <f>IF((AE32-AE36)&lt;=Painel!$C$29,0,-Painel!$C$30*(AE32-AE36-Painel!$C$29))</f>
        <v>-425.96923734100073</v>
      </c>
      <c r="AF41" s="40">
        <f>IF((AF32-AF36)&lt;=Painel!$C$29,0,-Painel!$C$30*(AF32-AF36-Painel!$C$29))</f>
        <v>-427.09700178508149</v>
      </c>
      <c r="AG41" s="40">
        <f>IF((AG32-AG36)&lt;=Painel!$C$29,0,-Painel!$C$30*(AG32-AG36-Painel!$C$29))</f>
        <v>-428.22860062827203</v>
      </c>
      <c r="AH41" s="40">
        <f>IF((AH32-AH36)&lt;=Painel!$C$29,0,-Painel!$C$30*(AH32-AH36-Painel!$C$29))</f>
        <v>-429.36404690752966</v>
      </c>
      <c r="AI41" s="40">
        <f>IF((AI32-AI36)&lt;=Painel!$C$29,0,-Painel!$C$30*(AI32-AI36-Painel!$C$29))</f>
        <v>0</v>
      </c>
      <c r="AJ41" s="40">
        <f>IF((AJ32-AJ36)&lt;=Painel!$C$29,0,-Painel!$C$30*(AJ32-AJ36-Painel!$C$29))</f>
        <v>0</v>
      </c>
      <c r="AK41" s="40">
        <f>IF((AK32-AK36)&lt;=Painel!$C$29,0,-Painel!$C$30*(AK32-AK36-Painel!$C$29))</f>
        <v>0</v>
      </c>
      <c r="AL41" s="40">
        <f>IF((AL32-AL36)&lt;=Painel!$C$29,0,-Painel!$C$30*(AL32-AL36-Painel!$C$29))</f>
        <v>0</v>
      </c>
      <c r="AM41" s="40">
        <f>IF((AM32-AM36)&lt;=Painel!$C$29,0,-Painel!$C$30*(AM32-AM36-Painel!$C$29))</f>
        <v>0</v>
      </c>
      <c r="AN41" s="40">
        <f t="shared" ref="AN41" si="62">AN55</f>
        <v>0</v>
      </c>
    </row>
    <row r="42" spans="1:40" ht="12" customHeight="1">
      <c r="A42" s="88"/>
      <c r="B42" s="60"/>
      <c r="C42" s="60"/>
      <c r="D42" s="95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40">
        <f t="shared" ref="AN42" si="63">AN56</f>
        <v>0</v>
      </c>
    </row>
    <row r="43" spans="1:40" ht="12" customHeight="1">
      <c r="A43" s="88" t="s">
        <v>438</v>
      </c>
      <c r="B43" s="60"/>
      <c r="C43" s="60"/>
      <c r="D43" s="46"/>
      <c r="E43" s="34">
        <f>IF((E32-E36)&lt;=0,0,-Painel!$C$31*(E32-E36))</f>
        <v>-162.17125899183574</v>
      </c>
      <c r="F43" s="34">
        <f>IF((F32-F36)&lt;=0,0,-Painel!$C$31*(F32-F36))</f>
        <v>-285.51424240404003</v>
      </c>
      <c r="G43" s="34">
        <f>IF((G32-G36)&lt;=0,0,-Painel!$C$31*(G32-G36))</f>
        <v>-381.61806990436088</v>
      </c>
      <c r="H43" s="34">
        <f>IF((H32-H36)&lt;=0,0,-Painel!$C$31*(H32-H36))</f>
        <v>-382.55365347544489</v>
      </c>
      <c r="I43" s="34">
        <f>IF((I32-I36)&lt;=0,0,-Painel!$C$31*(I32-I36))</f>
        <v>-383.49241803067059</v>
      </c>
      <c r="J43" s="34">
        <f>IF((J32-J36)&lt;=0,0,-Painel!$C$31*(J32-J36))</f>
        <v>-384.43437438538416</v>
      </c>
      <c r="K43" s="34">
        <f>IF((K32-K36)&lt;=0,0,-Painel!$C$31*(K32-K36))</f>
        <v>-385.37953339170372</v>
      </c>
      <c r="L43" s="34">
        <f>IF((L32-L36)&lt;=0,0,-Painel!$C$31*(L32-L36))</f>
        <v>-386.32790593864473</v>
      </c>
      <c r="M43" s="34">
        <f>IF((M32-M36)&lt;=0,0,-Painel!$C$31*(M32-M36))</f>
        <v>-387.27950295224531</v>
      </c>
      <c r="N43" s="34">
        <f>IF((N32-N36)&lt;=0,0,-Painel!$C$31*(N32-N36))</f>
        <v>-388.23433539569214</v>
      </c>
      <c r="O43" s="34">
        <f>IF((O32-O36)&lt;=0,0,-Painel!$C$31*(O32-O36))</f>
        <v>-389.19241426944677</v>
      </c>
      <c r="P43" s="34">
        <f>IF((P32-P36)&lt;=0,0,-Painel!$C$31*(P32-P36))</f>
        <v>-390.15375061137212</v>
      </c>
      <c r="Q43" s="34">
        <f>IF((Q32-Q36)&lt;=0,0,-Painel!$C$31*(Q32-Q36))</f>
        <v>-391.11835549685998</v>
      </c>
      <c r="R43" s="34">
        <f>IF((R32-R36)&lt;=0,0,-Painel!$C$31*(R32-R36))</f>
        <v>-392.08624003895858</v>
      </c>
      <c r="S43" s="34">
        <f>IF((S32-S36)&lt;=0,0,-Painel!$C$31*(S32-S36))</f>
        <v>-393.0574153885002</v>
      </c>
      <c r="T43" s="34">
        <f>IF((T32-T36)&lt;=0,0,-Painel!$C$31*(T32-T36))</f>
        <v>-394.03189273423033</v>
      </c>
      <c r="U43" s="34">
        <f>IF((U32-U36)&lt;=0,0,-Painel!$C$31*(U32-U36))</f>
        <v>-395.00968330293597</v>
      </c>
      <c r="V43" s="34">
        <f>IF((V32-V36)&lt;=0,0,-Painel!$C$31*(V32-V36))</f>
        <v>-395.99079835957519</v>
      </c>
      <c r="W43" s="34">
        <f>IF((W32-W36)&lt;=0,0,-Painel!$C$31*(W32-W36))</f>
        <v>-396.97524920740705</v>
      </c>
      <c r="X43" s="34">
        <f>IF((X32-X36)&lt;=0,0,-Painel!$C$31*(X32-X36))</f>
        <v>-397.96304718812138</v>
      </c>
      <c r="Y43" s="34">
        <f>IF((Y32-Y36)&lt;=0,0,-Painel!$C$31*(Y32-Y36))</f>
        <v>-398.95420368197023</v>
      </c>
      <c r="Z43" s="34">
        <f>IF((Z32-Z36)&lt;=0,0,-Painel!$C$31*(Z32-Z36))</f>
        <v>-399.9487301078982</v>
      </c>
      <c r="AA43" s="34">
        <f>IF((AA32-AA36)&lt;=0,0,-Painel!$C$31*(AA32-AA36))</f>
        <v>-400.94663792367419</v>
      </c>
      <c r="AB43" s="34">
        <f>IF((AB32-AB36)&lt;=0,0,-Painel!$C$31*(AB32-AB36))</f>
        <v>-401.94793862602398</v>
      </c>
      <c r="AC43" s="34">
        <f>IF((AC32-AC36)&lt;=0,0,-Painel!$C$31*(AC32-AC36))</f>
        <v>-402.95264375076158</v>
      </c>
      <c r="AD43" s="34">
        <f>IF((AD32-AD36)&lt;=0,0,-Painel!$C$31*(AD32-AD36))</f>
        <v>-403.96076487292351</v>
      </c>
      <c r="AE43" s="34">
        <f>IF((AE32-AE36)&lt;=0,0,-Painel!$C$31*(AE32-AE36))</f>
        <v>-404.97231360690063</v>
      </c>
      <c r="AF43" s="34">
        <f>IF((AF32-AF36)&lt;=0,0,-Painel!$C$31*(AF32-AF36))</f>
        <v>-405.98730160657328</v>
      </c>
      <c r="AG43" s="34">
        <f>IF((AG32-AG36)&lt;=0,0,-Painel!$C$31*(AG32-AG36))</f>
        <v>-407.0057405654448</v>
      </c>
      <c r="AH43" s="34">
        <f>IF((AH32-AH36)&lt;=0,0,-Painel!$C$31*(AH32-AH36))</f>
        <v>-408.02764221677666</v>
      </c>
      <c r="AI43" s="34">
        <f>IF((AI32-AI36)&lt;=0,0,-Painel!$C$31*(AI32-AI36))</f>
        <v>0</v>
      </c>
      <c r="AJ43" s="34">
        <f>IF((AJ32-AJ36)&lt;=0,0,-Painel!$C$31*(AJ32-AJ36))</f>
        <v>0</v>
      </c>
      <c r="AK43" s="34">
        <f>IF((AK32-AK36)&lt;=0,0,-Painel!$C$31*(AK32-AK36))</f>
        <v>0</v>
      </c>
      <c r="AL43" s="34">
        <f>IF((AL32-AL36)&lt;=0,0,-Painel!$C$31*(AL32-AL36))</f>
        <v>0</v>
      </c>
      <c r="AM43" s="34">
        <f>IF((AM32-AM36)&lt;=0,0,-Painel!$C$31*(AM32-AM36))</f>
        <v>0</v>
      </c>
      <c r="AN43" s="40">
        <f t="shared" ref="AN43" si="64">AN57</f>
        <v>0</v>
      </c>
    </row>
    <row r="44" spans="1:40" ht="12" customHeight="1">
      <c r="A44" s="88"/>
      <c r="B44" s="60"/>
      <c r="C44" s="60"/>
      <c r="D44" s="46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40">
        <f t="shared" ref="AN44" si="65">AN58</f>
        <v>0</v>
      </c>
    </row>
    <row r="45" spans="1:40" ht="12" customHeight="1">
      <c r="A45" s="64" t="s">
        <v>115</v>
      </c>
      <c r="B45" s="64"/>
      <c r="C45" s="64"/>
      <c r="D45" s="66"/>
      <c r="E45" s="67">
        <f t="shared" ref="E45:Z45" si="66">E39+E43</f>
        <v>-588.64697841360169</v>
      </c>
      <c r="F45" s="67">
        <f t="shared" si="66"/>
        <v>-1054.6093601930402</v>
      </c>
      <c r="G45" s="67">
        <f t="shared" si="66"/>
        <v>-1417.6682640831411</v>
      </c>
      <c r="H45" s="67">
        <f t="shared" si="66"/>
        <v>-1421.2026909072363</v>
      </c>
      <c r="I45" s="67">
        <f t="shared" si="66"/>
        <v>-1424.7491347825335</v>
      </c>
      <c r="J45" s="67">
        <f t="shared" si="66"/>
        <v>-1428.307636567007</v>
      </c>
      <c r="K45" s="67">
        <f t="shared" si="66"/>
        <v>-1431.8782372575474</v>
      </c>
      <c r="L45" s="67">
        <f t="shared" si="66"/>
        <v>-1435.4609779904358</v>
      </c>
      <c r="M45" s="67">
        <f t="shared" si="66"/>
        <v>-1439.0559000418157</v>
      </c>
      <c r="N45" s="67">
        <f t="shared" si="66"/>
        <v>-1442.6630448281703</v>
      </c>
      <c r="O45" s="67">
        <f t="shared" si="66"/>
        <v>-1446.282453906799</v>
      </c>
      <c r="P45" s="67">
        <f t="shared" si="66"/>
        <v>-1449.9141689762946</v>
      </c>
      <c r="Q45" s="67">
        <f t="shared" si="66"/>
        <v>-1453.5582318770266</v>
      </c>
      <c r="R45" s="67">
        <f t="shared" si="66"/>
        <v>-1457.2146845916213</v>
      </c>
      <c r="S45" s="67">
        <f t="shared" si="66"/>
        <v>-1460.8835692454452</v>
      </c>
      <c r="T45" s="67">
        <f t="shared" si="66"/>
        <v>-1464.5649281070923</v>
      </c>
      <c r="U45" s="67">
        <f t="shared" si="66"/>
        <v>-1468.2588035888693</v>
      </c>
      <c r="V45" s="67">
        <f t="shared" si="66"/>
        <v>-1471.9652382472841</v>
      </c>
      <c r="W45" s="67">
        <f t="shared" si="66"/>
        <v>-1475.6842747835376</v>
      </c>
      <c r="X45" s="67">
        <f t="shared" si="66"/>
        <v>-1479.4159560440141</v>
      </c>
      <c r="Y45" s="67">
        <f t="shared" si="66"/>
        <v>-1483.1603250207766</v>
      </c>
      <c r="Z45" s="67">
        <f t="shared" si="66"/>
        <v>-1486.9174248520599</v>
      </c>
      <c r="AA45" s="67">
        <f t="shared" ref="AA45:AM45" si="67">AA39+AA43</f>
        <v>-1490.6872988227692</v>
      </c>
      <c r="AB45" s="67">
        <f t="shared" si="67"/>
        <v>-1494.4699903649794</v>
      </c>
      <c r="AC45" s="67">
        <f t="shared" si="67"/>
        <v>-1498.2655430584327</v>
      </c>
      <c r="AD45" s="67">
        <f t="shared" si="67"/>
        <v>-1502.0740006310443</v>
      </c>
      <c r="AE45" s="67">
        <f t="shared" si="67"/>
        <v>-1505.8954069594024</v>
      </c>
      <c r="AF45" s="67">
        <f t="shared" si="67"/>
        <v>-1509.7298060692769</v>
      </c>
      <c r="AG45" s="67">
        <f t="shared" si="67"/>
        <v>-1513.5772421361248</v>
      </c>
      <c r="AH45" s="67">
        <f t="shared" si="67"/>
        <v>-1517.4377594856007</v>
      </c>
      <c r="AI45" s="67">
        <f t="shared" si="67"/>
        <v>0</v>
      </c>
      <c r="AJ45" s="67">
        <f t="shared" si="67"/>
        <v>0</v>
      </c>
      <c r="AK45" s="67">
        <f t="shared" si="67"/>
        <v>0</v>
      </c>
      <c r="AL45" s="67">
        <f t="shared" si="67"/>
        <v>0</v>
      </c>
      <c r="AM45" s="67">
        <f t="shared" si="67"/>
        <v>0</v>
      </c>
      <c r="AN45" s="40">
        <f t="shared" ref="AN45" si="68">AN59</f>
        <v>0</v>
      </c>
    </row>
    <row r="46" spans="1:40" ht="12" customHeight="1">
      <c r="A46" s="88" t="s">
        <v>439</v>
      </c>
      <c r="B46" s="60"/>
      <c r="C46" s="60"/>
      <c r="D46" s="96"/>
      <c r="E46" s="97">
        <f t="shared" ref="E46:AM46" si="69">IF(E30,-E45/E30,0)</f>
        <v>0.30767395135783981</v>
      </c>
      <c r="F46" s="97">
        <f t="shared" si="69"/>
        <v>0.19068069106154861</v>
      </c>
      <c r="G46" s="97">
        <f t="shared" si="69"/>
        <v>0.34013901995753681</v>
      </c>
      <c r="H46" s="97">
        <f t="shared" si="69"/>
        <v>0.3385829402496498</v>
      </c>
      <c r="I46" s="97">
        <f t="shared" si="69"/>
        <v>0.33704346889822856</v>
      </c>
      <c r="J46" s="97">
        <f t="shared" si="69"/>
        <v>0.33552035014537718</v>
      </c>
      <c r="K46" s="97">
        <f t="shared" si="69"/>
        <v>0.33401333345150652</v>
      </c>
      <c r="L46" s="97">
        <f t="shared" si="69"/>
        <v>0.33252217336289513</v>
      </c>
      <c r="M46" s="97">
        <f t="shared" si="69"/>
        <v>0.33104662938326179</v>
      </c>
      <c r="N46" s="97">
        <f t="shared" si="69"/>
        <v>0.32958646584921103</v>
      </c>
      <c r="O46" s="97">
        <f t="shared" si="69"/>
        <v>0.32814145180941517</v>
      </c>
      <c r="P46" s="97">
        <f t="shared" si="69"/>
        <v>0.32671136090740216</v>
      </c>
      <c r="Q46" s="97">
        <f t="shared" si="69"/>
        <v>0.325295971267826</v>
      </c>
      <c r="R46" s="97">
        <f t="shared" si="69"/>
        <v>0.32389506538609719</v>
      </c>
      <c r="S46" s="97">
        <f t="shared" si="69"/>
        <v>0.32250843002126134</v>
      </c>
      <c r="T46" s="97">
        <f t="shared" si="69"/>
        <v>0.32113585609201006</v>
      </c>
      <c r="U46" s="97">
        <f t="shared" si="69"/>
        <v>0.31977713857572349</v>
      </c>
      <c r="V46" s="97">
        <f t="shared" si="69"/>
        <v>0.31843207641043786</v>
      </c>
      <c r="W46" s="97">
        <f t="shared" si="69"/>
        <v>0.31710047239964045</v>
      </c>
      <c r="X46" s="97">
        <f t="shared" si="69"/>
        <v>0.3157821331197983</v>
      </c>
      <c r="Y46" s="97">
        <f t="shared" si="69"/>
        <v>0.31447686883052833</v>
      </c>
      <c r="Z46" s="97">
        <f t="shared" si="69"/>
        <v>0.31318449338732313</v>
      </c>
      <c r="AA46" s="97">
        <f t="shared" si="69"/>
        <v>0.31190482415674525</v>
      </c>
      <c r="AB46" s="97">
        <f t="shared" si="69"/>
        <v>0.31063768193401098</v>
      </c>
      <c r="AC46" s="97">
        <f t="shared" si="69"/>
        <v>0.30938289086288528</v>
      </c>
      <c r="AD46" s="97">
        <f t="shared" si="69"/>
        <v>0.30814027835781049</v>
      </c>
      <c r="AE46" s="97">
        <f t="shared" si="69"/>
        <v>0.30690967502820093</v>
      </c>
      <c r="AF46" s="97">
        <f t="shared" si="69"/>
        <v>0.30569091460482811</v>
      </c>
      <c r="AG46" s="97">
        <f t="shared" si="69"/>
        <v>0.30448383386823324</v>
      </c>
      <c r="AH46" s="97">
        <f t="shared" si="69"/>
        <v>0.30328827257910013</v>
      </c>
      <c r="AI46" s="97">
        <f t="shared" si="69"/>
        <v>0</v>
      </c>
      <c r="AJ46" s="97">
        <f t="shared" si="69"/>
        <v>0</v>
      </c>
      <c r="AK46" s="97">
        <f t="shared" si="69"/>
        <v>0</v>
      </c>
      <c r="AL46" s="97">
        <f t="shared" si="69"/>
        <v>0</v>
      </c>
      <c r="AM46" s="97">
        <f t="shared" si="69"/>
        <v>0</v>
      </c>
      <c r="AN46" s="40">
        <f t="shared" ref="AN46" si="70">AN60</f>
        <v>0</v>
      </c>
    </row>
  </sheetData>
  <sheetProtection password="C643" sheet="1" objects="1" scenarios="1"/>
  <conditionalFormatting sqref="D7:AN7">
    <cfRule type="cellIs" dxfId="0" priority="1" operator="equal">
      <formula>"LP"</formula>
    </cfRule>
  </conditionalFormatting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3:CH34"/>
  <sheetViews>
    <sheetView workbookViewId="0">
      <selection activeCell="G68" sqref="G68"/>
    </sheetView>
  </sheetViews>
  <sheetFormatPr defaultRowHeight="15"/>
  <cols>
    <col min="1" max="1" width="7.85546875" customWidth="1"/>
    <col min="2" max="2" width="7" hidden="1" customWidth="1"/>
    <col min="3" max="3" width="9.5703125" hidden="1" customWidth="1"/>
    <col min="4" max="5" width="10.5703125" hidden="1" customWidth="1"/>
    <col min="6" max="6" width="4.7109375" hidden="1" customWidth="1"/>
    <col min="7" max="7" width="7" bestFit="1" customWidth="1"/>
    <col min="8" max="8" width="10.5703125" bestFit="1" customWidth="1"/>
    <col min="9" max="10" width="11.5703125" bestFit="1" customWidth="1"/>
    <col min="11" max="11" width="13.28515625" bestFit="1" customWidth="1"/>
    <col min="12" max="12" width="3.7109375" customWidth="1"/>
    <col min="13" max="13" width="4.7109375" hidden="1" customWidth="1"/>
    <col min="14" max="14" width="7" hidden="1" customWidth="1"/>
    <col min="15" max="15" width="7.7109375" hidden="1" customWidth="1"/>
    <col min="16" max="16" width="11.140625" hidden="1" customWidth="1"/>
    <col min="17" max="17" width="8.7109375" hidden="1" customWidth="1"/>
    <col min="18" max="18" width="10.28515625" hidden="1" customWidth="1"/>
    <col min="19" max="19" width="19.7109375" hidden="1" customWidth="1"/>
    <col min="20" max="20" width="12.85546875" hidden="1" customWidth="1"/>
    <col min="21" max="21" width="11.7109375" hidden="1" customWidth="1"/>
    <col min="22" max="22" width="19.28515625" hidden="1" customWidth="1"/>
    <col min="23" max="23" width="15.42578125" hidden="1" customWidth="1"/>
    <col min="24" max="24" width="15.28515625" hidden="1" customWidth="1"/>
    <col min="25" max="25" width="18.42578125" hidden="1" customWidth="1"/>
    <col min="26" max="26" width="20.42578125" hidden="1" customWidth="1"/>
    <col min="27" max="27" width="9.5703125" hidden="1" customWidth="1"/>
    <col min="28" max="28" width="8" hidden="1" customWidth="1"/>
    <col min="29" max="29" width="9.5703125" hidden="1" customWidth="1"/>
    <col min="30" max="30" width="12" hidden="1" customWidth="1"/>
    <col min="31" max="31" width="11.140625" hidden="1" customWidth="1"/>
    <col min="32" max="32" width="24.140625" hidden="1" customWidth="1"/>
    <col min="33" max="33" width="21" hidden="1" customWidth="1"/>
    <col min="34" max="34" width="6.7109375" hidden="1" customWidth="1"/>
    <col min="35" max="35" width="7" hidden="1" customWidth="1"/>
    <col min="36" max="36" width="7.7109375" hidden="1" customWidth="1"/>
    <col min="37" max="38" width="11.5703125" hidden="1" customWidth="1"/>
    <col min="39" max="39" width="10.5703125" hidden="1" customWidth="1"/>
    <col min="40" max="40" width="19.7109375" hidden="1" customWidth="1"/>
    <col min="41" max="41" width="12.85546875" hidden="1" customWidth="1"/>
    <col min="42" max="42" width="11.7109375" hidden="1" customWidth="1"/>
    <col min="43" max="43" width="19.28515625" hidden="1" customWidth="1"/>
    <col min="44" max="44" width="15.42578125" hidden="1" customWidth="1"/>
    <col min="45" max="45" width="15.28515625" hidden="1" customWidth="1"/>
    <col min="46" max="46" width="18.42578125" hidden="1" customWidth="1"/>
    <col min="47" max="47" width="20.42578125" hidden="1" customWidth="1"/>
    <col min="48" max="48" width="13.28515625" style="544" hidden="1" customWidth="1"/>
    <col min="49" max="49" width="10.5703125" hidden="1" customWidth="1"/>
    <col min="50" max="50" width="13.28515625" style="544" hidden="1" customWidth="1"/>
    <col min="51" max="51" width="12" style="544" hidden="1" customWidth="1"/>
    <col min="52" max="52" width="11.5703125" hidden="1" customWidth="1"/>
    <col min="53" max="53" width="24.140625" hidden="1" customWidth="1"/>
    <col min="54" max="54" width="21" style="544" hidden="1" customWidth="1"/>
    <col min="55" max="55" width="13.28515625" hidden="1" customWidth="1"/>
    <col min="56" max="56" width="7.28515625" hidden="1" customWidth="1"/>
    <col min="57" max="57" width="7" bestFit="1" customWidth="1"/>
    <col min="58" max="60" width="13.28515625" bestFit="1" customWidth="1"/>
    <col min="61" max="61" width="11.5703125" bestFit="1" customWidth="1"/>
    <col min="62" max="63" width="13.28515625" bestFit="1" customWidth="1"/>
    <col min="64" max="64" width="9" customWidth="1"/>
    <col min="65" max="65" width="5.42578125" hidden="1" customWidth="1"/>
    <col min="66" max="66" width="7" hidden="1" customWidth="1"/>
    <col min="67" max="67" width="12.7109375" hidden="1" customWidth="1"/>
    <col min="68" max="68" width="9.140625" hidden="1" customWidth="1"/>
    <col min="69" max="69" width="4.28515625" hidden="1" customWidth="1"/>
    <col min="70" max="70" width="7" bestFit="1" customWidth="1"/>
    <col min="71" max="71" width="13.28515625" bestFit="1" customWidth="1"/>
    <col min="73" max="73" width="9.140625" hidden="1" customWidth="1"/>
    <col min="74" max="74" width="7" hidden="1" customWidth="1"/>
    <col min="75" max="75" width="16.140625" hidden="1" customWidth="1"/>
    <col min="76" max="77" width="0" hidden="1" customWidth="1"/>
    <col min="78" max="78" width="7" bestFit="1" customWidth="1"/>
    <col min="79" max="79" width="13.28515625" customWidth="1"/>
    <col min="81" max="81" width="0" hidden="1" customWidth="1"/>
    <col min="82" max="82" width="7" bestFit="1" customWidth="1"/>
    <col min="83" max="83" width="15.28515625" bestFit="1" customWidth="1"/>
    <col min="84" max="86" width="13.28515625" bestFit="1" customWidth="1"/>
  </cols>
  <sheetData>
    <row r="3" spans="2:86" ht="45">
      <c r="C3" t="s">
        <v>85</v>
      </c>
      <c r="D3" t="s">
        <v>86</v>
      </c>
      <c r="E3" t="s">
        <v>88</v>
      </c>
      <c r="G3" s="551"/>
      <c r="H3" s="546" t="str">
        <f t="shared" ref="H3:J3" si="0">C3</f>
        <v>PIS</v>
      </c>
      <c r="I3" s="546" t="str">
        <f t="shared" si="0"/>
        <v>COFINS</v>
      </c>
      <c r="J3" s="546" t="str">
        <f t="shared" si="0"/>
        <v>ISS</v>
      </c>
      <c r="K3" s="628" t="s">
        <v>373</v>
      </c>
      <c r="O3" s="542" t="str" cm="1">
        <f t="array" ref="O3:AG3">TRANSPOSE(OPEX!A8:A26)</f>
        <v>Mall</v>
      </c>
      <c r="P3" s="542" t="str">
        <v>Fazendinha</v>
      </c>
      <c r="Q3" s="542" t="str">
        <v>Charrete</v>
      </c>
      <c r="R3" s="542" t="str">
        <v>Ecoterapia</v>
      </c>
      <c r="S3" s="542" t="str">
        <v>Nucleo de Aventuras</v>
      </c>
      <c r="T3" s="542" t="str">
        <v>Camp Infantil</v>
      </c>
      <c r="U3" s="542" t="str">
        <v>Restaurante</v>
      </c>
      <c r="V3" s="542" t="str">
        <v>Centro de Visitantes</v>
      </c>
      <c r="W3" s="542" t="str">
        <v>Espaço Multiuso</v>
      </c>
      <c r="X3" s="542" t="str">
        <v>Estacionamento</v>
      </c>
      <c r="Y3" s="542" t="str">
        <v>Gestão de Resíduos</v>
      </c>
      <c r="Z3" s="542" t="str">
        <v>Parque de Exposições</v>
      </c>
      <c r="AA3" s="542" t="str">
        <v>SPE</v>
      </c>
      <c r="AB3" s="542" t="str">
        <v>Seguros</v>
      </c>
      <c r="AC3" s="542" t="str">
        <v>Limpeza</v>
      </c>
      <c r="AD3" s="542" t="str">
        <v>Manutenção</v>
      </c>
      <c r="AE3" s="542" t="str">
        <v>Suporte TIC</v>
      </c>
      <c r="AF3" s="542" t="str">
        <v>Conservação areas verdes</v>
      </c>
      <c r="AG3" s="542" t="str">
        <v>Segurança Patrimonial</v>
      </c>
      <c r="AJ3" t="str">
        <f>O3</f>
        <v>Mall</v>
      </c>
      <c r="AK3" t="str">
        <f t="shared" ref="AK3:BB3" si="1">P3</f>
        <v>Fazendinha</v>
      </c>
      <c r="AL3" t="str">
        <f t="shared" si="1"/>
        <v>Charrete</v>
      </c>
      <c r="AM3" t="str">
        <f t="shared" si="1"/>
        <v>Ecoterapia</v>
      </c>
      <c r="AN3" t="str">
        <f t="shared" si="1"/>
        <v>Nucleo de Aventuras</v>
      </c>
      <c r="AO3" t="str">
        <f t="shared" si="1"/>
        <v>Camp Infantil</v>
      </c>
      <c r="AP3" t="str">
        <f t="shared" si="1"/>
        <v>Restaurante</v>
      </c>
      <c r="AQ3" t="str">
        <f t="shared" si="1"/>
        <v>Centro de Visitantes</v>
      </c>
      <c r="AR3" t="str">
        <f t="shared" si="1"/>
        <v>Espaço Multiuso</v>
      </c>
      <c r="AS3" t="str">
        <f t="shared" si="1"/>
        <v>Estacionamento</v>
      </c>
      <c r="AT3" t="str">
        <f t="shared" si="1"/>
        <v>Gestão de Resíduos</v>
      </c>
      <c r="AU3" t="str">
        <f t="shared" si="1"/>
        <v>Parque de Exposições</v>
      </c>
      <c r="AV3" s="544" t="str">
        <f t="shared" si="1"/>
        <v>SPE</v>
      </c>
      <c r="AW3" t="str">
        <f t="shared" si="1"/>
        <v>Seguros</v>
      </c>
      <c r="AX3" s="544" t="str">
        <f t="shared" si="1"/>
        <v>Limpeza</v>
      </c>
      <c r="AY3" s="544" t="str">
        <f t="shared" si="1"/>
        <v>Manutenção</v>
      </c>
      <c r="AZ3" t="str">
        <f t="shared" si="1"/>
        <v>Suporte TIC</v>
      </c>
      <c r="BA3" t="str">
        <f t="shared" si="1"/>
        <v>Conservação areas verdes</v>
      </c>
      <c r="BB3" s="544" t="str">
        <f t="shared" si="1"/>
        <v>Segurança Patrimonial</v>
      </c>
      <c r="BC3" s="612" t="s">
        <v>316</v>
      </c>
      <c r="BE3" s="546"/>
      <c r="BF3" s="547" t="str">
        <f>AV3</f>
        <v>SPE</v>
      </c>
      <c r="BG3" s="547" t="str">
        <f>BB3</f>
        <v>Segurança Patrimonial</v>
      </c>
      <c r="BH3" s="547" t="str">
        <f>AX3</f>
        <v>Limpeza</v>
      </c>
      <c r="BI3" s="547" t="str">
        <f>AY3</f>
        <v>Manutenção</v>
      </c>
      <c r="BJ3" s="629" t="s">
        <v>440</v>
      </c>
      <c r="BK3" s="629" t="s">
        <v>373</v>
      </c>
      <c r="BL3" s="538"/>
      <c r="BO3" s="612" t="s">
        <v>441</v>
      </c>
      <c r="BR3" s="553"/>
      <c r="BS3" s="630" t="str">
        <f>BO3</f>
        <v xml:space="preserve">Depreciação </v>
      </c>
      <c r="BW3" s="612" t="s">
        <v>442</v>
      </c>
      <c r="BZ3" s="553"/>
      <c r="CA3" s="652" t="str">
        <f>BW3</f>
        <v>Impostos Diretos</v>
      </c>
      <c r="CD3" s="553"/>
      <c r="CE3" s="653" t="s">
        <v>138</v>
      </c>
      <c r="CF3" s="653" t="s">
        <v>443</v>
      </c>
      <c r="CG3" s="653" t="s">
        <v>444</v>
      </c>
      <c r="CH3" s="653" t="s">
        <v>59</v>
      </c>
    </row>
    <row r="4" spans="2:86">
      <c r="B4" s="536" cm="1">
        <f t="array" ref="B4:B33">TRANSPOSE(Tributos!E2:AH2)</f>
        <v>1</v>
      </c>
      <c r="C4" s="537" cm="1">
        <f t="array" ref="C4:E33">TRANSPOSE(Tributos!E10:AH12)</f>
        <v>-36.601152203018486</v>
      </c>
      <c r="D4" s="537">
        <v>-168.92839478316222</v>
      </c>
      <c r="E4" s="537">
        <v>-281.54732463860375</v>
      </c>
      <c r="G4" s="551">
        <f t="shared" ref="G4:G33" si="2">B4</f>
        <v>1</v>
      </c>
      <c r="H4" s="552">
        <f>-C4*1000</f>
        <v>36601.152203018486</v>
      </c>
      <c r="I4" s="552">
        <f>-D4*1000</f>
        <v>168928.39478316222</v>
      </c>
      <c r="J4" s="552">
        <f>-E4*1000</f>
        <v>281547.32463860378</v>
      </c>
      <c r="K4" s="552">
        <f>SUM(H4:J4)</f>
        <v>487076.87162478449</v>
      </c>
      <c r="N4" s="536">
        <f>B4</f>
        <v>1</v>
      </c>
      <c r="O4" s="539" cm="1">
        <f t="array" ref="O4:AG33">TRANSPOSE(OPEX!E8:AH26)</f>
        <v>0</v>
      </c>
      <c r="P4" s="539">
        <v>114.17496742500771</v>
      </c>
      <c r="Q4" s="539">
        <v>48.938716113266771</v>
      </c>
      <c r="R4" s="539">
        <v>23.955511315112158</v>
      </c>
      <c r="S4" s="539">
        <v>97.700706109895563</v>
      </c>
      <c r="T4" s="539">
        <v>58.886304073263702</v>
      </c>
      <c r="U4" s="539">
        <v>0</v>
      </c>
      <c r="V4" s="539">
        <v>67.801755649753474</v>
      </c>
      <c r="W4" s="539">
        <v>33.979939511700003</v>
      </c>
      <c r="X4" s="539">
        <v>15.0180416083992</v>
      </c>
      <c r="Y4" s="539">
        <v>23.959556060667204</v>
      </c>
      <c r="Z4" s="539">
        <v>56.746533945336481</v>
      </c>
      <c r="AA4" s="539">
        <v>534.61562790824701</v>
      </c>
      <c r="AB4" s="539">
        <v>30.079944999999999</v>
      </c>
      <c r="AC4" s="539">
        <v>352.17123993515338</v>
      </c>
      <c r="AD4" s="539">
        <v>165.86333437430525</v>
      </c>
      <c r="AE4" s="539">
        <v>112.07197442376068</v>
      </c>
      <c r="AF4" s="539">
        <v>92.109730873383526</v>
      </c>
      <c r="AG4" s="539">
        <v>359.30605500575035</v>
      </c>
      <c r="AI4" s="536">
        <f>N4</f>
        <v>1</v>
      </c>
      <c r="AJ4" s="543">
        <f>O4*1000</f>
        <v>0</v>
      </c>
      <c r="AK4" s="543">
        <f>P4*1000</f>
        <v>114174.96742500771</v>
      </c>
      <c r="AL4" s="543">
        <f t="shared" ref="AL4:BB18" si="3">Q4*1000</f>
        <v>48938.716113266768</v>
      </c>
      <c r="AM4" s="543">
        <f t="shared" si="3"/>
        <v>23955.511315112159</v>
      </c>
      <c r="AN4" s="543">
        <f t="shared" si="3"/>
        <v>97700.70610989556</v>
      </c>
      <c r="AO4" s="543">
        <f t="shared" si="3"/>
        <v>58886.304073263702</v>
      </c>
      <c r="AP4" s="543">
        <f t="shared" si="3"/>
        <v>0</v>
      </c>
      <c r="AQ4" s="543">
        <f t="shared" si="3"/>
        <v>67801.755649753468</v>
      </c>
      <c r="AR4" s="543">
        <f t="shared" si="3"/>
        <v>33979.939511700002</v>
      </c>
      <c r="AS4" s="543">
        <f t="shared" si="3"/>
        <v>15018.0416083992</v>
      </c>
      <c r="AT4" s="543">
        <f t="shared" si="3"/>
        <v>23959.556060667204</v>
      </c>
      <c r="AU4" s="543">
        <f t="shared" si="3"/>
        <v>56746.53394533648</v>
      </c>
      <c r="AV4" s="545">
        <f t="shared" si="3"/>
        <v>534615.62790824706</v>
      </c>
      <c r="AW4" s="543">
        <f t="shared" si="3"/>
        <v>30079.945</v>
      </c>
      <c r="AX4" s="545">
        <f t="shared" si="3"/>
        <v>352171.2399351534</v>
      </c>
      <c r="AY4" s="545">
        <f t="shared" si="3"/>
        <v>165863.33437430524</v>
      </c>
      <c r="AZ4" s="543">
        <f t="shared" si="3"/>
        <v>112071.97442376068</v>
      </c>
      <c r="BA4" s="543">
        <f t="shared" si="3"/>
        <v>92109.730873383523</v>
      </c>
      <c r="BB4" s="545">
        <f t="shared" si="3"/>
        <v>359306.05500575033</v>
      </c>
      <c r="BC4" s="543">
        <f>SUM(AJ4:BB4)</f>
        <v>2187379.939333003</v>
      </c>
      <c r="BE4" s="548">
        <f>AI4</f>
        <v>1</v>
      </c>
      <c r="BF4" s="549">
        <f t="shared" ref="BF4:BF33" si="4">AV4</f>
        <v>534615.62790824706</v>
      </c>
      <c r="BG4" s="549">
        <f t="shared" ref="BG4:BG33" si="5">BB4</f>
        <v>359306.05500575033</v>
      </c>
      <c r="BH4" s="549">
        <f t="shared" ref="BH4:BH33" si="6">AX4</f>
        <v>352171.2399351534</v>
      </c>
      <c r="BI4" s="549">
        <f t="shared" ref="BI4:BI33" si="7">AY4</f>
        <v>165863.33437430524</v>
      </c>
      <c r="BJ4" s="550">
        <f>SUM(AJ4:AU4,AW4,AZ4:BA4)</f>
        <v>775423.68210954638</v>
      </c>
      <c r="BK4" s="550">
        <f>SUM(BF4:BJ4)</f>
        <v>2187379.9393330025</v>
      </c>
      <c r="BL4" s="651"/>
      <c r="BN4" s="536">
        <f>BE4</f>
        <v>1</v>
      </c>
      <c r="BO4" cm="1">
        <f t="array" ref="BO4:BO33">TRANSPOSE(DRE!E35:AH35)</f>
        <v>-591.64398984444449</v>
      </c>
      <c r="BR4" s="551">
        <f t="shared" ref="BR4:BR33" si="8">BN4</f>
        <v>1</v>
      </c>
      <c r="BS4" s="552">
        <f>-BO4*1000</f>
        <v>591643.98984444444</v>
      </c>
      <c r="BV4" s="536">
        <f>BR4</f>
        <v>1</v>
      </c>
      <c r="BW4" s="537" cm="1">
        <f t="array" ref="BW4:BW33">TRANSPOSE(Tributos!E13:AH13)</f>
        <v>-588.64697841360169</v>
      </c>
      <c r="BZ4" s="551">
        <f t="shared" ref="BZ4:BZ33" si="9">BV4</f>
        <v>1</v>
      </c>
      <c r="CA4" s="552">
        <f>-BW4*1000</f>
        <v>588646.97841360164</v>
      </c>
      <c r="CD4" s="551">
        <f>BV4</f>
        <v>1</v>
      </c>
      <c r="CE4" s="654">
        <f>BK4</f>
        <v>2187379.9393330025</v>
      </c>
      <c r="CF4" s="654" cm="1">
        <f t="array" ref="CF4:CF33">-1000*TRANSPOSE(DRE!E28:AH28)</f>
        <v>87495.197573320096</v>
      </c>
      <c r="CG4" s="654" cm="1">
        <f t="array" ref="CG4:CG33">-1000*TRANSPOSE(DRE!E28:AH28)</f>
        <v>87495.197573320096</v>
      </c>
      <c r="CH4" s="654" cm="1">
        <f t="array" ref="CH4:CH33">-1000*TRANSPOSE(DRE!E26:AH26)</f>
        <v>14133.675696857908</v>
      </c>
    </row>
    <row r="5" spans="2:86">
      <c r="B5" s="536">
        <v>2</v>
      </c>
      <c r="C5" s="537">
        <v>-64.438978320356256</v>
      </c>
      <c r="D5" s="537">
        <v>-297.410669170875</v>
      </c>
      <c r="E5" s="537">
        <v>-495.68444861812509</v>
      </c>
      <c r="G5" s="551">
        <f t="shared" si="2"/>
        <v>2</v>
      </c>
      <c r="H5" s="552">
        <f t="shared" ref="H5:H32" si="10">-C5*1000</f>
        <v>64438.978320356255</v>
      </c>
      <c r="I5" s="552">
        <f t="shared" ref="I5:I32" si="11">-D5*1000</f>
        <v>297410.66917087499</v>
      </c>
      <c r="J5" s="552">
        <f t="shared" ref="J5:J32" si="12">-E5*1000</f>
        <v>495684.44861812511</v>
      </c>
      <c r="K5" s="552">
        <f t="shared" ref="K5:K33" si="13">SUM(H5:J5)</f>
        <v>857534.09610935627</v>
      </c>
      <c r="N5" s="536">
        <f t="shared" ref="N5:N33" si="14">B5</f>
        <v>2</v>
      </c>
      <c r="O5" s="539">
        <v>0</v>
      </c>
      <c r="P5" s="539">
        <v>244.6606444821594</v>
      </c>
      <c r="Q5" s="539">
        <v>104.86867738557166</v>
      </c>
      <c r="R5" s="539">
        <v>51.333238532383206</v>
      </c>
      <c r="S5" s="539">
        <v>209.35865594977622</v>
      </c>
      <c r="T5" s="539">
        <v>126.1849372998508</v>
      </c>
      <c r="U5" s="539">
        <v>0</v>
      </c>
      <c r="V5" s="539">
        <v>145.28947639232888</v>
      </c>
      <c r="W5" s="539">
        <v>72.8141560965</v>
      </c>
      <c r="X5" s="539">
        <v>32.181517732284</v>
      </c>
      <c r="Y5" s="539">
        <v>51.34190584428687</v>
      </c>
      <c r="Z5" s="539">
        <v>121.59971559714961</v>
      </c>
      <c r="AA5" s="539">
        <v>1145.6049169462435</v>
      </c>
      <c r="AB5" s="539">
        <v>64.457025000000002</v>
      </c>
      <c r="AC5" s="539">
        <v>754.65265700390023</v>
      </c>
      <c r="AD5" s="539">
        <v>355.42143080208268</v>
      </c>
      <c r="AE5" s="539">
        <v>240.15423090805862</v>
      </c>
      <c r="AF5" s="539">
        <v>197.37799472867897</v>
      </c>
      <c r="AG5" s="539">
        <v>769.94154644089372</v>
      </c>
      <c r="AI5" s="536">
        <f t="shared" ref="AI5:AI33" si="15">N5</f>
        <v>2</v>
      </c>
      <c r="AJ5" s="543">
        <f t="shared" ref="AJ5:AK33" si="16">O5*1000</f>
        <v>0</v>
      </c>
      <c r="AK5" s="543">
        <f t="shared" si="16"/>
        <v>244660.64448215941</v>
      </c>
      <c r="AL5" s="543">
        <f t="shared" si="3"/>
        <v>104868.67738557166</v>
      </c>
      <c r="AM5" s="543">
        <f t="shared" si="3"/>
        <v>51333.238532383206</v>
      </c>
      <c r="AN5" s="543">
        <f t="shared" si="3"/>
        <v>209358.65594977624</v>
      </c>
      <c r="AO5" s="543">
        <f t="shared" si="3"/>
        <v>126184.9372998508</v>
      </c>
      <c r="AP5" s="543">
        <f t="shared" si="3"/>
        <v>0</v>
      </c>
      <c r="AQ5" s="543">
        <f t="shared" si="3"/>
        <v>145289.47639232888</v>
      </c>
      <c r="AR5" s="543">
        <f t="shared" si="3"/>
        <v>72814.156096499995</v>
      </c>
      <c r="AS5" s="543">
        <f t="shared" si="3"/>
        <v>32181.517732283999</v>
      </c>
      <c r="AT5" s="543">
        <f t="shared" si="3"/>
        <v>51341.90584428687</v>
      </c>
      <c r="AU5" s="543">
        <f t="shared" si="3"/>
        <v>121599.71559714961</v>
      </c>
      <c r="AV5" s="545">
        <f t="shared" si="3"/>
        <v>1145604.9169462435</v>
      </c>
      <c r="AW5" s="543">
        <f t="shared" si="3"/>
        <v>64457.025000000001</v>
      </c>
      <c r="AX5" s="545">
        <f t="shared" si="3"/>
        <v>754652.65700390027</v>
      </c>
      <c r="AY5" s="545">
        <f t="shared" si="3"/>
        <v>355421.4308020827</v>
      </c>
      <c r="AZ5" s="543">
        <f t="shared" si="3"/>
        <v>240154.23090805861</v>
      </c>
      <c r="BA5" s="543">
        <f t="shared" si="3"/>
        <v>197377.99472867898</v>
      </c>
      <c r="BB5" s="545">
        <f t="shared" si="3"/>
        <v>769941.54644089367</v>
      </c>
      <c r="BC5" s="543">
        <f t="shared" ref="BC5:BC33" si="17">SUM(AJ5:BB5)</f>
        <v>4687242.7271421487</v>
      </c>
      <c r="BE5" s="548">
        <f t="shared" ref="BE5:BE33" si="18">AI5</f>
        <v>2</v>
      </c>
      <c r="BF5" s="549">
        <f t="shared" si="4"/>
        <v>1145604.9169462435</v>
      </c>
      <c r="BG5" s="549">
        <f t="shared" si="5"/>
        <v>769941.54644089367</v>
      </c>
      <c r="BH5" s="549">
        <f t="shared" si="6"/>
        <v>754652.65700390027</v>
      </c>
      <c r="BI5" s="549">
        <f t="shared" si="7"/>
        <v>355421.4308020827</v>
      </c>
      <c r="BJ5" s="550">
        <f t="shared" ref="BJ5:BJ33" si="19">SUM(AJ5:AU5,AW5,AZ5:BA5)</f>
        <v>1661622.1759490282</v>
      </c>
      <c r="BK5" s="550">
        <f t="shared" ref="BK5:BK33" si="20">SUM(BF5:BJ5)</f>
        <v>4687242.7271421477</v>
      </c>
      <c r="BL5" s="651"/>
      <c r="BN5" s="536">
        <f t="shared" ref="BN5:BN33" si="21">BE5</f>
        <v>2</v>
      </c>
      <c r="BO5">
        <v>-1053.6374738674331</v>
      </c>
      <c r="BR5" s="551">
        <f t="shared" si="8"/>
        <v>2</v>
      </c>
      <c r="BS5" s="552">
        <f t="shared" ref="BS5:BS33" si="22">-BO5*1000</f>
        <v>1053637.4738674331</v>
      </c>
      <c r="BV5" s="536">
        <f t="shared" ref="BV5:BV33" si="23">BR5</f>
        <v>2</v>
      </c>
      <c r="BW5" s="537">
        <v>-1054.6093601930402</v>
      </c>
      <c r="BZ5" s="551">
        <f t="shared" si="9"/>
        <v>2</v>
      </c>
      <c r="CA5" s="552">
        <f t="shared" ref="CA5:CA33" si="24">-BW5*1000</f>
        <v>1054609.3601930402</v>
      </c>
      <c r="CD5" s="551">
        <f t="shared" ref="CD5:CD33" si="25">BV5</f>
        <v>2</v>
      </c>
      <c r="CE5" s="654">
        <f t="shared" ref="CE5:CE33" si="26">BK5</f>
        <v>4687242.7271421477</v>
      </c>
      <c r="CF5" s="654">
        <v>187489.70908568596</v>
      </c>
      <c r="CG5" s="654">
        <v>187489.70908568596</v>
      </c>
      <c r="CH5" s="654">
        <v>24883.359320629879</v>
      </c>
    </row>
    <row r="6" spans="2:86">
      <c r="B6" s="536">
        <v>3</v>
      </c>
      <c r="C6" s="537">
        <v>-86.129078277025883</v>
      </c>
      <c r="D6" s="537">
        <v>-397.51882281704252</v>
      </c>
      <c r="E6" s="537">
        <v>-662.53137136173757</v>
      </c>
      <c r="G6" s="551">
        <f t="shared" si="2"/>
        <v>3</v>
      </c>
      <c r="H6" s="552">
        <f t="shared" si="10"/>
        <v>86129.078277025881</v>
      </c>
      <c r="I6" s="552">
        <f t="shared" si="11"/>
        <v>397518.82281704253</v>
      </c>
      <c r="J6" s="552">
        <f t="shared" si="12"/>
        <v>662531.37136173761</v>
      </c>
      <c r="K6" s="552">
        <f t="shared" si="13"/>
        <v>1146179.2724558059</v>
      </c>
      <c r="N6" s="536">
        <f t="shared" si="14"/>
        <v>3</v>
      </c>
      <c r="O6" s="539">
        <v>0</v>
      </c>
      <c r="P6" s="539">
        <v>326.2141926428792</v>
      </c>
      <c r="Q6" s="539">
        <v>139.82490318076222</v>
      </c>
      <c r="R6" s="539">
        <v>68.444318043177603</v>
      </c>
      <c r="S6" s="539">
        <v>279.14487459970161</v>
      </c>
      <c r="T6" s="539">
        <v>168.24658306646774</v>
      </c>
      <c r="U6" s="539">
        <v>0</v>
      </c>
      <c r="V6" s="539">
        <v>193.71930185643851</v>
      </c>
      <c r="W6" s="539">
        <v>97.085541462000009</v>
      </c>
      <c r="X6" s="539">
        <v>42.908690309712</v>
      </c>
      <c r="Y6" s="539">
        <v>68.455874459049156</v>
      </c>
      <c r="Z6" s="539">
        <v>162.13295412953281</v>
      </c>
      <c r="AA6" s="539">
        <v>1527.4732225949915</v>
      </c>
      <c r="AB6" s="539">
        <v>85.942700000000002</v>
      </c>
      <c r="AC6" s="539">
        <v>1006.2035426718669</v>
      </c>
      <c r="AD6" s="539">
        <v>473.89524106944361</v>
      </c>
      <c r="AE6" s="539">
        <v>320.20564121074483</v>
      </c>
      <c r="AF6" s="539">
        <v>263.17065963823865</v>
      </c>
      <c r="AG6" s="539">
        <v>1026.5887285878582</v>
      </c>
      <c r="AI6" s="536">
        <f t="shared" si="15"/>
        <v>3</v>
      </c>
      <c r="AJ6" s="543">
        <f t="shared" si="16"/>
        <v>0</v>
      </c>
      <c r="AK6" s="543">
        <f t="shared" si="16"/>
        <v>326214.19264287921</v>
      </c>
      <c r="AL6" s="543">
        <f t="shared" si="3"/>
        <v>139824.90318076222</v>
      </c>
      <c r="AM6" s="543">
        <f t="shared" si="3"/>
        <v>68444.318043177598</v>
      </c>
      <c r="AN6" s="543">
        <f t="shared" si="3"/>
        <v>279144.87459970161</v>
      </c>
      <c r="AO6" s="543">
        <f t="shared" si="3"/>
        <v>168246.58306646775</v>
      </c>
      <c r="AP6" s="543">
        <f t="shared" si="3"/>
        <v>0</v>
      </c>
      <c r="AQ6" s="543">
        <f t="shared" si="3"/>
        <v>193719.30185643851</v>
      </c>
      <c r="AR6" s="543">
        <f t="shared" si="3"/>
        <v>97085.541462000008</v>
      </c>
      <c r="AS6" s="543">
        <f t="shared" si="3"/>
        <v>42908.690309712001</v>
      </c>
      <c r="AT6" s="543">
        <f t="shared" si="3"/>
        <v>68455.874459049155</v>
      </c>
      <c r="AU6" s="543">
        <f t="shared" si="3"/>
        <v>162132.95412953279</v>
      </c>
      <c r="AV6" s="545">
        <f t="shared" si="3"/>
        <v>1527473.2225949916</v>
      </c>
      <c r="AW6" s="543">
        <f t="shared" si="3"/>
        <v>85942.7</v>
      </c>
      <c r="AX6" s="545">
        <f t="shared" si="3"/>
        <v>1006203.5426718669</v>
      </c>
      <c r="AY6" s="545">
        <f t="shared" si="3"/>
        <v>473895.24106944364</v>
      </c>
      <c r="AZ6" s="543">
        <f t="shared" si="3"/>
        <v>320205.64121074486</v>
      </c>
      <c r="BA6" s="543">
        <f t="shared" si="3"/>
        <v>263170.65963823866</v>
      </c>
      <c r="BB6" s="545">
        <f t="shared" si="3"/>
        <v>1026588.7285878583</v>
      </c>
      <c r="BC6" s="543">
        <f t="shared" si="17"/>
        <v>6249656.9695228655</v>
      </c>
      <c r="BE6" s="548">
        <f t="shared" si="18"/>
        <v>3</v>
      </c>
      <c r="BF6" s="549">
        <f t="shared" si="4"/>
        <v>1527473.2225949916</v>
      </c>
      <c r="BG6" s="549">
        <f t="shared" si="5"/>
        <v>1026588.7285878583</v>
      </c>
      <c r="BH6" s="549">
        <f t="shared" si="6"/>
        <v>1006203.5426718669</v>
      </c>
      <c r="BI6" s="549">
        <f t="shared" si="7"/>
        <v>473895.24106944364</v>
      </c>
      <c r="BJ6" s="550">
        <f t="shared" si="19"/>
        <v>2215496.2345987041</v>
      </c>
      <c r="BK6" s="550">
        <f t="shared" si="20"/>
        <v>6249656.9695228636</v>
      </c>
      <c r="BL6" s="651"/>
      <c r="BN6" s="536">
        <f t="shared" si="21"/>
        <v>3</v>
      </c>
      <c r="BO6">
        <v>-1053.6374738674331</v>
      </c>
      <c r="BR6" s="551">
        <f t="shared" si="8"/>
        <v>3</v>
      </c>
      <c r="BS6" s="552">
        <f t="shared" si="22"/>
        <v>1053637.4738674331</v>
      </c>
      <c r="BV6" s="536">
        <f t="shared" si="23"/>
        <v>3</v>
      </c>
      <c r="BW6" s="537">
        <v>-1417.6682640831411</v>
      </c>
      <c r="BZ6" s="551">
        <f t="shared" si="9"/>
        <v>3</v>
      </c>
      <c r="CA6" s="552">
        <f t="shared" si="24"/>
        <v>1417668.2640831412</v>
      </c>
      <c r="CD6" s="551">
        <f t="shared" si="25"/>
        <v>3</v>
      </c>
      <c r="CE6" s="654">
        <f t="shared" si="26"/>
        <v>6249656.9695228636</v>
      </c>
      <c r="CF6" s="654">
        <v>249986.27878091458</v>
      </c>
      <c r="CG6" s="654">
        <v>249986.27878091458</v>
      </c>
      <c r="CH6" s="654">
        <v>33259.074842359223</v>
      </c>
    </row>
    <row r="7" spans="2:86">
      <c r="B7" s="536">
        <v>4</v>
      </c>
      <c r="C7" s="537">
        <v>-86.340234291333061</v>
      </c>
      <c r="D7" s="537">
        <v>-398.49338903692177</v>
      </c>
      <c r="E7" s="537">
        <v>-664.15564839486967</v>
      </c>
      <c r="G7" s="551">
        <f t="shared" si="2"/>
        <v>4</v>
      </c>
      <c r="H7" s="552">
        <f t="shared" si="10"/>
        <v>86340.234291333065</v>
      </c>
      <c r="I7" s="552">
        <f t="shared" si="11"/>
        <v>398493.38903692178</v>
      </c>
      <c r="J7" s="552">
        <f t="shared" si="12"/>
        <v>664155.64839486964</v>
      </c>
      <c r="K7" s="552">
        <f t="shared" si="13"/>
        <v>1148989.2717231244</v>
      </c>
      <c r="N7" s="536">
        <f t="shared" si="14"/>
        <v>4</v>
      </c>
      <c r="O7" s="539">
        <v>0</v>
      </c>
      <c r="P7" s="539">
        <v>326.2141926428792</v>
      </c>
      <c r="Q7" s="539">
        <v>139.82490318076222</v>
      </c>
      <c r="R7" s="539">
        <v>68.444318043177603</v>
      </c>
      <c r="S7" s="539">
        <v>279.14487459970161</v>
      </c>
      <c r="T7" s="539">
        <v>168.24658306646774</v>
      </c>
      <c r="U7" s="539">
        <v>0</v>
      </c>
      <c r="V7" s="539">
        <v>193.71930185643851</v>
      </c>
      <c r="W7" s="539">
        <v>97.085541462000009</v>
      </c>
      <c r="X7" s="539">
        <v>42.908690309712</v>
      </c>
      <c r="Y7" s="539">
        <v>68.455874459049156</v>
      </c>
      <c r="Z7" s="539">
        <v>162.13295412953281</v>
      </c>
      <c r="AA7" s="539">
        <v>1527.4732225949915</v>
      </c>
      <c r="AB7" s="539">
        <v>85.942700000000002</v>
      </c>
      <c r="AC7" s="539">
        <v>1006.2035426718669</v>
      </c>
      <c r="AD7" s="539">
        <v>473.89524106944361</v>
      </c>
      <c r="AE7" s="539">
        <v>320.20564121074483</v>
      </c>
      <c r="AF7" s="539">
        <v>263.17065963823865</v>
      </c>
      <c r="AG7" s="539">
        <v>1026.5887285878582</v>
      </c>
      <c r="AI7" s="536">
        <f t="shared" si="15"/>
        <v>4</v>
      </c>
      <c r="AJ7" s="543">
        <f t="shared" si="16"/>
        <v>0</v>
      </c>
      <c r="AK7" s="543">
        <f t="shared" si="16"/>
        <v>326214.19264287921</v>
      </c>
      <c r="AL7" s="543">
        <f t="shared" si="3"/>
        <v>139824.90318076222</v>
      </c>
      <c r="AM7" s="543">
        <f t="shared" si="3"/>
        <v>68444.318043177598</v>
      </c>
      <c r="AN7" s="543">
        <f t="shared" si="3"/>
        <v>279144.87459970161</v>
      </c>
      <c r="AO7" s="543">
        <f t="shared" si="3"/>
        <v>168246.58306646775</v>
      </c>
      <c r="AP7" s="543">
        <f t="shared" si="3"/>
        <v>0</v>
      </c>
      <c r="AQ7" s="543">
        <f t="shared" si="3"/>
        <v>193719.30185643851</v>
      </c>
      <c r="AR7" s="543">
        <f t="shared" si="3"/>
        <v>97085.541462000008</v>
      </c>
      <c r="AS7" s="543">
        <f t="shared" si="3"/>
        <v>42908.690309712001</v>
      </c>
      <c r="AT7" s="543">
        <f t="shared" si="3"/>
        <v>68455.874459049155</v>
      </c>
      <c r="AU7" s="543">
        <f t="shared" si="3"/>
        <v>162132.95412953279</v>
      </c>
      <c r="AV7" s="545">
        <f t="shared" si="3"/>
        <v>1527473.2225949916</v>
      </c>
      <c r="AW7" s="543">
        <f t="shared" si="3"/>
        <v>85942.7</v>
      </c>
      <c r="AX7" s="545">
        <f t="shared" si="3"/>
        <v>1006203.5426718669</v>
      </c>
      <c r="AY7" s="545">
        <f t="shared" si="3"/>
        <v>473895.24106944364</v>
      </c>
      <c r="AZ7" s="543">
        <f t="shared" si="3"/>
        <v>320205.64121074486</v>
      </c>
      <c r="BA7" s="543">
        <f t="shared" si="3"/>
        <v>263170.65963823866</v>
      </c>
      <c r="BB7" s="545">
        <f t="shared" si="3"/>
        <v>1026588.7285878583</v>
      </c>
      <c r="BC7" s="543">
        <f t="shared" si="17"/>
        <v>6249656.9695228655</v>
      </c>
      <c r="BE7" s="548">
        <f t="shared" si="18"/>
        <v>4</v>
      </c>
      <c r="BF7" s="549">
        <f t="shared" si="4"/>
        <v>1527473.2225949916</v>
      </c>
      <c r="BG7" s="549">
        <f t="shared" si="5"/>
        <v>1026588.7285878583</v>
      </c>
      <c r="BH7" s="549">
        <f t="shared" si="6"/>
        <v>1006203.5426718669</v>
      </c>
      <c r="BI7" s="549">
        <f t="shared" si="7"/>
        <v>473895.24106944364</v>
      </c>
      <c r="BJ7" s="550">
        <f t="shared" si="19"/>
        <v>2215496.2345987041</v>
      </c>
      <c r="BK7" s="550">
        <f t="shared" si="20"/>
        <v>6249656.9695228636</v>
      </c>
      <c r="BL7" s="651"/>
      <c r="BN7" s="536">
        <f t="shared" si="21"/>
        <v>4</v>
      </c>
      <c r="BO7">
        <v>-1053.6374738674331</v>
      </c>
      <c r="BR7" s="551">
        <f t="shared" si="8"/>
        <v>4</v>
      </c>
      <c r="BS7" s="552">
        <f t="shared" si="22"/>
        <v>1053637.4738674331</v>
      </c>
      <c r="BV7" s="536">
        <f t="shared" si="23"/>
        <v>4</v>
      </c>
      <c r="BW7" s="537">
        <v>-1421.2026909072363</v>
      </c>
      <c r="BZ7" s="551">
        <f t="shared" si="9"/>
        <v>4</v>
      </c>
      <c r="CA7" s="552">
        <f t="shared" si="24"/>
        <v>1421202.6909072362</v>
      </c>
      <c r="CD7" s="551">
        <f t="shared" si="25"/>
        <v>4</v>
      </c>
      <c r="CE7" s="654">
        <f t="shared" si="26"/>
        <v>6249656.9695228636</v>
      </c>
      <c r="CF7" s="654">
        <v>249986.27878091458</v>
      </c>
      <c r="CG7" s="654">
        <v>249986.27878091458</v>
      </c>
      <c r="CH7" s="654">
        <v>33340.613549422458</v>
      </c>
    </row>
    <row r="8" spans="2:86">
      <c r="B8" s="536">
        <v>5</v>
      </c>
      <c r="C8" s="537">
        <v>-86.55210823608887</v>
      </c>
      <c r="D8" s="537">
        <v>-399.47126878194854</v>
      </c>
      <c r="E8" s="537">
        <v>-665.78544796991434</v>
      </c>
      <c r="G8" s="551">
        <f t="shared" si="2"/>
        <v>5</v>
      </c>
      <c r="H8" s="552">
        <f t="shared" si="10"/>
        <v>86552.108236088869</v>
      </c>
      <c r="I8" s="552">
        <f t="shared" si="11"/>
        <v>399471.26878194854</v>
      </c>
      <c r="J8" s="552">
        <f t="shared" si="12"/>
        <v>665785.4479699143</v>
      </c>
      <c r="K8" s="552">
        <f t="shared" si="13"/>
        <v>1151808.8249879517</v>
      </c>
      <c r="N8" s="536">
        <f t="shared" si="14"/>
        <v>5</v>
      </c>
      <c r="O8" s="539">
        <v>0</v>
      </c>
      <c r="P8" s="539">
        <v>326.2141926428792</v>
      </c>
      <c r="Q8" s="539">
        <v>139.82490318076222</v>
      </c>
      <c r="R8" s="539">
        <v>68.444318043177603</v>
      </c>
      <c r="S8" s="539">
        <v>279.14487459970161</v>
      </c>
      <c r="T8" s="539">
        <v>168.24658306646774</v>
      </c>
      <c r="U8" s="539">
        <v>0</v>
      </c>
      <c r="V8" s="539">
        <v>193.71930185643851</v>
      </c>
      <c r="W8" s="539">
        <v>97.085541462000009</v>
      </c>
      <c r="X8" s="539">
        <v>42.908690309712</v>
      </c>
      <c r="Y8" s="539">
        <v>68.455874459049156</v>
      </c>
      <c r="Z8" s="539">
        <v>162.13295412953281</v>
      </c>
      <c r="AA8" s="539">
        <v>1527.4732225949915</v>
      </c>
      <c r="AB8" s="539">
        <v>85.942700000000002</v>
      </c>
      <c r="AC8" s="539">
        <v>1006.2035426718669</v>
      </c>
      <c r="AD8" s="539">
        <v>473.89524106944361</v>
      </c>
      <c r="AE8" s="539">
        <v>320.20564121074483</v>
      </c>
      <c r="AF8" s="539">
        <v>263.17065963823865</v>
      </c>
      <c r="AG8" s="539">
        <v>1026.5887285878582</v>
      </c>
      <c r="AI8" s="536">
        <f t="shared" si="15"/>
        <v>5</v>
      </c>
      <c r="AJ8" s="543">
        <f t="shared" si="16"/>
        <v>0</v>
      </c>
      <c r="AK8" s="543">
        <f t="shared" si="16"/>
        <v>326214.19264287921</v>
      </c>
      <c r="AL8" s="543">
        <f t="shared" si="3"/>
        <v>139824.90318076222</v>
      </c>
      <c r="AM8" s="543">
        <f t="shared" si="3"/>
        <v>68444.318043177598</v>
      </c>
      <c r="AN8" s="543">
        <f t="shared" si="3"/>
        <v>279144.87459970161</v>
      </c>
      <c r="AO8" s="543">
        <f t="shared" si="3"/>
        <v>168246.58306646775</v>
      </c>
      <c r="AP8" s="543">
        <f t="shared" si="3"/>
        <v>0</v>
      </c>
      <c r="AQ8" s="543">
        <f t="shared" si="3"/>
        <v>193719.30185643851</v>
      </c>
      <c r="AR8" s="543">
        <f t="shared" si="3"/>
        <v>97085.541462000008</v>
      </c>
      <c r="AS8" s="543">
        <f t="shared" si="3"/>
        <v>42908.690309712001</v>
      </c>
      <c r="AT8" s="543">
        <f t="shared" si="3"/>
        <v>68455.874459049155</v>
      </c>
      <c r="AU8" s="543">
        <f t="shared" si="3"/>
        <v>162132.95412953279</v>
      </c>
      <c r="AV8" s="545">
        <f t="shared" si="3"/>
        <v>1527473.2225949916</v>
      </c>
      <c r="AW8" s="543">
        <f t="shared" si="3"/>
        <v>85942.7</v>
      </c>
      <c r="AX8" s="545">
        <f t="shared" si="3"/>
        <v>1006203.5426718669</v>
      </c>
      <c r="AY8" s="545">
        <f t="shared" si="3"/>
        <v>473895.24106944364</v>
      </c>
      <c r="AZ8" s="543">
        <f t="shared" si="3"/>
        <v>320205.64121074486</v>
      </c>
      <c r="BA8" s="543">
        <f t="shared" si="3"/>
        <v>263170.65963823866</v>
      </c>
      <c r="BB8" s="545">
        <f t="shared" si="3"/>
        <v>1026588.7285878583</v>
      </c>
      <c r="BC8" s="543">
        <f t="shared" si="17"/>
        <v>6249656.9695228655</v>
      </c>
      <c r="BE8" s="548">
        <f t="shared" si="18"/>
        <v>5</v>
      </c>
      <c r="BF8" s="549">
        <f t="shared" si="4"/>
        <v>1527473.2225949916</v>
      </c>
      <c r="BG8" s="549">
        <f t="shared" si="5"/>
        <v>1026588.7285878583</v>
      </c>
      <c r="BH8" s="549">
        <f t="shared" si="6"/>
        <v>1006203.5426718669</v>
      </c>
      <c r="BI8" s="549">
        <f t="shared" si="7"/>
        <v>473895.24106944364</v>
      </c>
      <c r="BJ8" s="550">
        <f t="shared" si="19"/>
        <v>2215496.2345987041</v>
      </c>
      <c r="BK8" s="550">
        <f t="shared" si="20"/>
        <v>6249656.9695228636</v>
      </c>
      <c r="BL8" s="651"/>
      <c r="BN8" s="536">
        <f t="shared" si="21"/>
        <v>5</v>
      </c>
      <c r="BO8">
        <v>-1053.6374738674331</v>
      </c>
      <c r="BR8" s="551">
        <f t="shared" si="8"/>
        <v>5</v>
      </c>
      <c r="BS8" s="552">
        <f t="shared" si="22"/>
        <v>1053637.4738674331</v>
      </c>
      <c r="BV8" s="536">
        <f t="shared" si="23"/>
        <v>5</v>
      </c>
      <c r="BW8" s="537">
        <v>-1424.7491347825335</v>
      </c>
      <c r="BZ8" s="551">
        <f t="shared" si="9"/>
        <v>5</v>
      </c>
      <c r="CA8" s="552">
        <f t="shared" si="24"/>
        <v>1424749.1347825334</v>
      </c>
      <c r="CD8" s="551">
        <f t="shared" si="25"/>
        <v>5</v>
      </c>
      <c r="CE8" s="654">
        <f t="shared" si="26"/>
        <v>6249656.9695228636</v>
      </c>
      <c r="CF8" s="654">
        <v>249986.27878091458</v>
      </c>
      <c r="CG8" s="654">
        <v>249986.27878091458</v>
      </c>
      <c r="CH8" s="654">
        <v>33422.4294880897</v>
      </c>
    </row>
    <row r="9" spans="2:86">
      <c r="B9" s="536">
        <v>6</v>
      </c>
      <c r="C9" s="537">
        <v>-86.76470255225685</v>
      </c>
      <c r="D9" s="537">
        <v>-400.4524733181085</v>
      </c>
      <c r="E9" s="537">
        <v>-667.42078886351419</v>
      </c>
      <c r="G9" s="551">
        <f t="shared" si="2"/>
        <v>6</v>
      </c>
      <c r="H9" s="552">
        <f t="shared" si="10"/>
        <v>86764.702552256844</v>
      </c>
      <c r="I9" s="552">
        <f t="shared" si="11"/>
        <v>400452.47331810847</v>
      </c>
      <c r="J9" s="552">
        <f t="shared" si="12"/>
        <v>667420.7888635142</v>
      </c>
      <c r="K9" s="552">
        <f t="shared" si="13"/>
        <v>1154637.9647338795</v>
      </c>
      <c r="N9" s="536">
        <f t="shared" si="14"/>
        <v>6</v>
      </c>
      <c r="O9" s="539">
        <v>0</v>
      </c>
      <c r="P9" s="539">
        <v>326.2141926428792</v>
      </c>
      <c r="Q9" s="539">
        <v>139.82490318076222</v>
      </c>
      <c r="R9" s="539">
        <v>68.444318043177603</v>
      </c>
      <c r="S9" s="539">
        <v>279.14487459970161</v>
      </c>
      <c r="T9" s="539">
        <v>168.24658306646774</v>
      </c>
      <c r="U9" s="539">
        <v>0</v>
      </c>
      <c r="V9" s="539">
        <v>193.71930185643851</v>
      </c>
      <c r="W9" s="539">
        <v>97.085541462000009</v>
      </c>
      <c r="X9" s="539">
        <v>42.908690309712</v>
      </c>
      <c r="Y9" s="539">
        <v>68.455874459049156</v>
      </c>
      <c r="Z9" s="539">
        <v>162.13295412953281</v>
      </c>
      <c r="AA9" s="539">
        <v>1527.4732225949915</v>
      </c>
      <c r="AB9" s="539">
        <v>85.942700000000002</v>
      </c>
      <c r="AC9" s="539">
        <v>1006.2035426718669</v>
      </c>
      <c r="AD9" s="539">
        <v>473.89524106944361</v>
      </c>
      <c r="AE9" s="539">
        <v>320.20564121074483</v>
      </c>
      <c r="AF9" s="539">
        <v>263.17065963823865</v>
      </c>
      <c r="AG9" s="539">
        <v>1026.5887285878582</v>
      </c>
      <c r="AI9" s="536">
        <f t="shared" si="15"/>
        <v>6</v>
      </c>
      <c r="AJ9" s="543">
        <f t="shared" si="16"/>
        <v>0</v>
      </c>
      <c r="AK9" s="543">
        <f t="shared" si="16"/>
        <v>326214.19264287921</v>
      </c>
      <c r="AL9" s="543">
        <f t="shared" si="3"/>
        <v>139824.90318076222</v>
      </c>
      <c r="AM9" s="543">
        <f t="shared" si="3"/>
        <v>68444.318043177598</v>
      </c>
      <c r="AN9" s="543">
        <f t="shared" si="3"/>
        <v>279144.87459970161</v>
      </c>
      <c r="AO9" s="543">
        <f t="shared" si="3"/>
        <v>168246.58306646775</v>
      </c>
      <c r="AP9" s="543">
        <f t="shared" si="3"/>
        <v>0</v>
      </c>
      <c r="AQ9" s="543">
        <f t="shared" si="3"/>
        <v>193719.30185643851</v>
      </c>
      <c r="AR9" s="543">
        <f t="shared" si="3"/>
        <v>97085.541462000008</v>
      </c>
      <c r="AS9" s="543">
        <f t="shared" si="3"/>
        <v>42908.690309712001</v>
      </c>
      <c r="AT9" s="543">
        <f t="shared" si="3"/>
        <v>68455.874459049155</v>
      </c>
      <c r="AU9" s="543">
        <f t="shared" si="3"/>
        <v>162132.95412953279</v>
      </c>
      <c r="AV9" s="545">
        <f t="shared" si="3"/>
        <v>1527473.2225949916</v>
      </c>
      <c r="AW9" s="543">
        <f t="shared" si="3"/>
        <v>85942.7</v>
      </c>
      <c r="AX9" s="545">
        <f t="shared" si="3"/>
        <v>1006203.5426718669</v>
      </c>
      <c r="AY9" s="545">
        <f t="shared" si="3"/>
        <v>473895.24106944364</v>
      </c>
      <c r="AZ9" s="543">
        <f t="shared" si="3"/>
        <v>320205.64121074486</v>
      </c>
      <c r="BA9" s="543">
        <f t="shared" si="3"/>
        <v>263170.65963823866</v>
      </c>
      <c r="BB9" s="545">
        <f t="shared" si="3"/>
        <v>1026588.7285878583</v>
      </c>
      <c r="BC9" s="543">
        <f t="shared" si="17"/>
        <v>6249656.9695228655</v>
      </c>
      <c r="BE9" s="548">
        <f t="shared" si="18"/>
        <v>6</v>
      </c>
      <c r="BF9" s="549">
        <f t="shared" si="4"/>
        <v>1527473.2225949916</v>
      </c>
      <c r="BG9" s="549">
        <f t="shared" si="5"/>
        <v>1026588.7285878583</v>
      </c>
      <c r="BH9" s="549">
        <f t="shared" si="6"/>
        <v>1006203.5426718669</v>
      </c>
      <c r="BI9" s="549">
        <f t="shared" si="7"/>
        <v>473895.24106944364</v>
      </c>
      <c r="BJ9" s="550">
        <f t="shared" si="19"/>
        <v>2215496.2345987041</v>
      </c>
      <c r="BK9" s="550">
        <f t="shared" si="20"/>
        <v>6249656.9695228636</v>
      </c>
      <c r="BL9" s="651"/>
      <c r="BN9" s="536">
        <f t="shared" si="21"/>
        <v>6</v>
      </c>
      <c r="BO9">
        <v>-1053.6374738674331</v>
      </c>
      <c r="BR9" s="551">
        <f t="shared" si="8"/>
        <v>6</v>
      </c>
      <c r="BS9" s="552">
        <f t="shared" si="22"/>
        <v>1053637.4738674331</v>
      </c>
      <c r="BV9" s="536">
        <f t="shared" si="23"/>
        <v>6</v>
      </c>
      <c r="BW9" s="537">
        <v>-1428.307636567007</v>
      </c>
      <c r="BZ9" s="551">
        <f t="shared" si="9"/>
        <v>6</v>
      </c>
      <c r="CA9" s="552">
        <f t="shared" si="24"/>
        <v>1428307.6365670071</v>
      </c>
      <c r="CD9" s="551">
        <f t="shared" si="25"/>
        <v>6</v>
      </c>
      <c r="CE9" s="654">
        <f t="shared" si="26"/>
        <v>6249656.9695228636</v>
      </c>
      <c r="CF9" s="654">
        <v>249986.27878091458</v>
      </c>
      <c r="CG9" s="654">
        <v>249986.27878091458</v>
      </c>
      <c r="CH9" s="654">
        <v>33504.523600948407</v>
      </c>
    </row>
    <row r="10" spans="2:86">
      <c r="B10" s="536">
        <v>7</v>
      </c>
      <c r="C10" s="537">
        <v>-86.97801968909981</v>
      </c>
      <c r="D10" s="537">
        <v>-401.43701394969139</v>
      </c>
      <c r="E10" s="537">
        <v>-669.06168991615232</v>
      </c>
      <c r="G10" s="551">
        <f t="shared" si="2"/>
        <v>7</v>
      </c>
      <c r="H10" s="552">
        <f t="shared" si="10"/>
        <v>86978.019689099805</v>
      </c>
      <c r="I10" s="552">
        <f t="shared" si="11"/>
        <v>401437.01394969138</v>
      </c>
      <c r="J10" s="552">
        <f t="shared" si="12"/>
        <v>669061.68991615227</v>
      </c>
      <c r="K10" s="552">
        <f t="shared" si="13"/>
        <v>1157476.7235549435</v>
      </c>
      <c r="N10" s="536">
        <f t="shared" si="14"/>
        <v>7</v>
      </c>
      <c r="O10" s="539">
        <v>0</v>
      </c>
      <c r="P10" s="539">
        <v>326.2141926428792</v>
      </c>
      <c r="Q10" s="539">
        <v>139.82490318076222</v>
      </c>
      <c r="R10" s="539">
        <v>68.444318043177603</v>
      </c>
      <c r="S10" s="539">
        <v>279.14487459970161</v>
      </c>
      <c r="T10" s="539">
        <v>168.24658306646774</v>
      </c>
      <c r="U10" s="539">
        <v>0</v>
      </c>
      <c r="V10" s="539">
        <v>193.71930185643851</v>
      </c>
      <c r="W10" s="539">
        <v>97.085541462000009</v>
      </c>
      <c r="X10" s="539">
        <v>42.908690309712</v>
      </c>
      <c r="Y10" s="539">
        <v>68.455874459049156</v>
      </c>
      <c r="Z10" s="539">
        <v>162.13295412953281</v>
      </c>
      <c r="AA10" s="539">
        <v>1527.4732225949915</v>
      </c>
      <c r="AB10" s="539">
        <v>85.942700000000002</v>
      </c>
      <c r="AC10" s="539">
        <v>1006.2035426718669</v>
      </c>
      <c r="AD10" s="539">
        <v>473.89524106944361</v>
      </c>
      <c r="AE10" s="539">
        <v>320.20564121074483</v>
      </c>
      <c r="AF10" s="539">
        <v>263.17065963823865</v>
      </c>
      <c r="AG10" s="539">
        <v>1026.5887285878582</v>
      </c>
      <c r="AI10" s="536">
        <f t="shared" si="15"/>
        <v>7</v>
      </c>
      <c r="AJ10" s="543">
        <f t="shared" si="16"/>
        <v>0</v>
      </c>
      <c r="AK10" s="543">
        <f t="shared" si="16"/>
        <v>326214.19264287921</v>
      </c>
      <c r="AL10" s="543">
        <f t="shared" si="3"/>
        <v>139824.90318076222</v>
      </c>
      <c r="AM10" s="543">
        <f t="shared" si="3"/>
        <v>68444.318043177598</v>
      </c>
      <c r="AN10" s="543">
        <f t="shared" si="3"/>
        <v>279144.87459970161</v>
      </c>
      <c r="AO10" s="543">
        <f t="shared" si="3"/>
        <v>168246.58306646775</v>
      </c>
      <c r="AP10" s="543">
        <f t="shared" si="3"/>
        <v>0</v>
      </c>
      <c r="AQ10" s="543">
        <f t="shared" si="3"/>
        <v>193719.30185643851</v>
      </c>
      <c r="AR10" s="543">
        <f t="shared" si="3"/>
        <v>97085.541462000008</v>
      </c>
      <c r="AS10" s="543">
        <f t="shared" si="3"/>
        <v>42908.690309712001</v>
      </c>
      <c r="AT10" s="543">
        <f t="shared" si="3"/>
        <v>68455.874459049155</v>
      </c>
      <c r="AU10" s="543">
        <f t="shared" si="3"/>
        <v>162132.95412953279</v>
      </c>
      <c r="AV10" s="545">
        <f t="shared" si="3"/>
        <v>1527473.2225949916</v>
      </c>
      <c r="AW10" s="543">
        <f t="shared" si="3"/>
        <v>85942.7</v>
      </c>
      <c r="AX10" s="545">
        <f t="shared" si="3"/>
        <v>1006203.5426718669</v>
      </c>
      <c r="AY10" s="545">
        <f t="shared" si="3"/>
        <v>473895.24106944364</v>
      </c>
      <c r="AZ10" s="543">
        <f t="shared" si="3"/>
        <v>320205.64121074486</v>
      </c>
      <c r="BA10" s="543">
        <f t="shared" si="3"/>
        <v>263170.65963823866</v>
      </c>
      <c r="BB10" s="545">
        <f t="shared" si="3"/>
        <v>1026588.7285878583</v>
      </c>
      <c r="BC10" s="543">
        <f t="shared" si="17"/>
        <v>6249656.9695228655</v>
      </c>
      <c r="BE10" s="548">
        <f t="shared" si="18"/>
        <v>7</v>
      </c>
      <c r="BF10" s="549">
        <f t="shared" si="4"/>
        <v>1527473.2225949916</v>
      </c>
      <c r="BG10" s="549">
        <f t="shared" si="5"/>
        <v>1026588.7285878583</v>
      </c>
      <c r="BH10" s="549">
        <f t="shared" si="6"/>
        <v>1006203.5426718669</v>
      </c>
      <c r="BI10" s="549">
        <f t="shared" si="7"/>
        <v>473895.24106944364</v>
      </c>
      <c r="BJ10" s="550">
        <f t="shared" si="19"/>
        <v>2215496.2345987041</v>
      </c>
      <c r="BK10" s="550">
        <f t="shared" si="20"/>
        <v>6249656.9695228636</v>
      </c>
      <c r="BL10" s="651"/>
      <c r="BN10" s="536">
        <f t="shared" si="21"/>
        <v>7</v>
      </c>
      <c r="BO10">
        <v>-1053.6374738674331</v>
      </c>
      <c r="BR10" s="551">
        <f t="shared" si="8"/>
        <v>7</v>
      </c>
      <c r="BS10" s="552">
        <f t="shared" si="22"/>
        <v>1053637.4738674331</v>
      </c>
      <c r="BV10" s="536">
        <f t="shared" si="23"/>
        <v>7</v>
      </c>
      <c r="BW10" s="537">
        <v>-1431.8782372575474</v>
      </c>
      <c r="BZ10" s="551">
        <f t="shared" si="9"/>
        <v>7</v>
      </c>
      <c r="CA10" s="552">
        <f t="shared" si="24"/>
        <v>1431878.2372575474</v>
      </c>
      <c r="CD10" s="551">
        <f t="shared" si="25"/>
        <v>7</v>
      </c>
      <c r="CE10" s="654">
        <f t="shared" si="26"/>
        <v>6249656.9695228636</v>
      </c>
      <c r="CF10" s="654">
        <v>249986.27878091458</v>
      </c>
      <c r="CG10" s="654">
        <v>249986.27878091458</v>
      </c>
      <c r="CH10" s="654">
        <v>33586.896833790845</v>
      </c>
    </row>
    <row r="11" spans="2:86">
      <c r="B11" s="536">
        <v>8</v>
      </c>
      <c r="C11" s="537">
        <v>-87.19206210420802</v>
      </c>
      <c r="D11" s="537">
        <v>-402.42490201942161</v>
      </c>
      <c r="E11" s="537">
        <v>-670.70817003236937</v>
      </c>
      <c r="G11" s="551">
        <f t="shared" si="2"/>
        <v>8</v>
      </c>
      <c r="H11" s="552">
        <f t="shared" si="10"/>
        <v>87192.062104208017</v>
      </c>
      <c r="I11" s="552">
        <f t="shared" si="11"/>
        <v>402424.90201942163</v>
      </c>
      <c r="J11" s="552">
        <f t="shared" si="12"/>
        <v>670708.17003236932</v>
      </c>
      <c r="K11" s="552">
        <f t="shared" si="13"/>
        <v>1160325.1341559989</v>
      </c>
      <c r="N11" s="536">
        <f t="shared" si="14"/>
        <v>8</v>
      </c>
      <c r="O11" s="539">
        <v>0</v>
      </c>
      <c r="P11" s="539">
        <v>326.2141926428792</v>
      </c>
      <c r="Q11" s="539">
        <v>139.82490318076222</v>
      </c>
      <c r="R11" s="539">
        <v>68.444318043177603</v>
      </c>
      <c r="S11" s="539">
        <v>279.14487459970161</v>
      </c>
      <c r="T11" s="539">
        <v>168.24658306646774</v>
      </c>
      <c r="U11" s="539">
        <v>0</v>
      </c>
      <c r="V11" s="539">
        <v>193.71930185643851</v>
      </c>
      <c r="W11" s="539">
        <v>97.085541462000009</v>
      </c>
      <c r="X11" s="539">
        <v>42.908690309712</v>
      </c>
      <c r="Y11" s="539">
        <v>68.455874459049156</v>
      </c>
      <c r="Z11" s="539">
        <v>162.13295412953281</v>
      </c>
      <c r="AA11" s="539">
        <v>1527.4732225949915</v>
      </c>
      <c r="AB11" s="539">
        <v>85.942700000000002</v>
      </c>
      <c r="AC11" s="539">
        <v>1006.2035426718669</v>
      </c>
      <c r="AD11" s="539">
        <v>473.89524106944361</v>
      </c>
      <c r="AE11" s="539">
        <v>320.20564121074483</v>
      </c>
      <c r="AF11" s="539">
        <v>263.17065963823865</v>
      </c>
      <c r="AG11" s="539">
        <v>1026.5887285878582</v>
      </c>
      <c r="AI11" s="536">
        <f t="shared" si="15"/>
        <v>8</v>
      </c>
      <c r="AJ11" s="543">
        <f t="shared" si="16"/>
        <v>0</v>
      </c>
      <c r="AK11" s="543">
        <f t="shared" si="16"/>
        <v>326214.19264287921</v>
      </c>
      <c r="AL11" s="543">
        <f t="shared" si="3"/>
        <v>139824.90318076222</v>
      </c>
      <c r="AM11" s="543">
        <f t="shared" si="3"/>
        <v>68444.318043177598</v>
      </c>
      <c r="AN11" s="543">
        <f t="shared" si="3"/>
        <v>279144.87459970161</v>
      </c>
      <c r="AO11" s="543">
        <f t="shared" si="3"/>
        <v>168246.58306646775</v>
      </c>
      <c r="AP11" s="543">
        <f t="shared" si="3"/>
        <v>0</v>
      </c>
      <c r="AQ11" s="543">
        <f t="shared" si="3"/>
        <v>193719.30185643851</v>
      </c>
      <c r="AR11" s="543">
        <f t="shared" si="3"/>
        <v>97085.541462000008</v>
      </c>
      <c r="AS11" s="543">
        <f t="shared" si="3"/>
        <v>42908.690309712001</v>
      </c>
      <c r="AT11" s="543">
        <f t="shared" si="3"/>
        <v>68455.874459049155</v>
      </c>
      <c r="AU11" s="543">
        <f t="shared" si="3"/>
        <v>162132.95412953279</v>
      </c>
      <c r="AV11" s="545">
        <f t="shared" si="3"/>
        <v>1527473.2225949916</v>
      </c>
      <c r="AW11" s="543">
        <f t="shared" si="3"/>
        <v>85942.7</v>
      </c>
      <c r="AX11" s="545">
        <f t="shared" si="3"/>
        <v>1006203.5426718669</v>
      </c>
      <c r="AY11" s="545">
        <f t="shared" si="3"/>
        <v>473895.24106944364</v>
      </c>
      <c r="AZ11" s="543">
        <f t="shared" si="3"/>
        <v>320205.64121074486</v>
      </c>
      <c r="BA11" s="543">
        <f t="shared" si="3"/>
        <v>263170.65963823866</v>
      </c>
      <c r="BB11" s="545">
        <f t="shared" si="3"/>
        <v>1026588.7285878583</v>
      </c>
      <c r="BC11" s="543">
        <f t="shared" si="17"/>
        <v>6249656.9695228655</v>
      </c>
      <c r="BE11" s="548">
        <f t="shared" si="18"/>
        <v>8</v>
      </c>
      <c r="BF11" s="549">
        <f t="shared" si="4"/>
        <v>1527473.2225949916</v>
      </c>
      <c r="BG11" s="549">
        <f t="shared" si="5"/>
        <v>1026588.7285878583</v>
      </c>
      <c r="BH11" s="549">
        <f t="shared" si="6"/>
        <v>1006203.5426718669</v>
      </c>
      <c r="BI11" s="549">
        <f t="shared" si="7"/>
        <v>473895.24106944364</v>
      </c>
      <c r="BJ11" s="550">
        <f t="shared" si="19"/>
        <v>2215496.2345987041</v>
      </c>
      <c r="BK11" s="550">
        <f t="shared" si="20"/>
        <v>6249656.9695228636</v>
      </c>
      <c r="BL11" s="651"/>
      <c r="BN11" s="536">
        <f t="shared" si="21"/>
        <v>8</v>
      </c>
      <c r="BO11">
        <v>-1053.6374738674331</v>
      </c>
      <c r="BR11" s="551">
        <f t="shared" si="8"/>
        <v>8</v>
      </c>
      <c r="BS11" s="552">
        <f t="shared" si="22"/>
        <v>1053637.4738674331</v>
      </c>
      <c r="BV11" s="536">
        <f t="shared" si="23"/>
        <v>8</v>
      </c>
      <c r="BW11" s="537">
        <v>-1435.4609779904358</v>
      </c>
      <c r="BZ11" s="551">
        <f t="shared" si="9"/>
        <v>8</v>
      </c>
      <c r="CA11" s="552">
        <f t="shared" si="24"/>
        <v>1435460.9779904359</v>
      </c>
      <c r="CD11" s="551">
        <f t="shared" si="25"/>
        <v>8</v>
      </c>
      <c r="CE11" s="654">
        <f t="shared" si="26"/>
        <v>6249656.9695228636</v>
      </c>
      <c r="CF11" s="654">
        <v>249986.27878091458</v>
      </c>
      <c r="CG11" s="654">
        <v>249986.27878091458</v>
      </c>
      <c r="CH11" s="654">
        <v>33669.550135624944</v>
      </c>
    </row>
    <row r="12" spans="2:86">
      <c r="B12" s="536">
        <v>9</v>
      </c>
      <c r="C12" s="537">
        <v>-87.406832263527605</v>
      </c>
      <c r="D12" s="537">
        <v>-403.41614890858887</v>
      </c>
      <c r="E12" s="537">
        <v>-672.36024818098156</v>
      </c>
      <c r="G12" s="551">
        <f t="shared" si="2"/>
        <v>9</v>
      </c>
      <c r="H12" s="552">
        <f t="shared" si="10"/>
        <v>87406.832263527598</v>
      </c>
      <c r="I12" s="552">
        <f t="shared" si="11"/>
        <v>403416.14890858886</v>
      </c>
      <c r="J12" s="552">
        <f t="shared" si="12"/>
        <v>672360.24818098161</v>
      </c>
      <c r="K12" s="552">
        <f t="shared" si="13"/>
        <v>1163183.2293530982</v>
      </c>
      <c r="N12" s="536">
        <f t="shared" si="14"/>
        <v>9</v>
      </c>
      <c r="O12" s="539">
        <v>0</v>
      </c>
      <c r="P12" s="539">
        <v>326.2141926428792</v>
      </c>
      <c r="Q12" s="539">
        <v>139.82490318076222</v>
      </c>
      <c r="R12" s="539">
        <v>68.444318043177603</v>
      </c>
      <c r="S12" s="539">
        <v>279.14487459970161</v>
      </c>
      <c r="T12" s="539">
        <v>168.24658306646774</v>
      </c>
      <c r="U12" s="539">
        <v>0</v>
      </c>
      <c r="V12" s="539">
        <v>193.71930185643851</v>
      </c>
      <c r="W12" s="539">
        <v>97.085541462000009</v>
      </c>
      <c r="X12" s="539">
        <v>42.908690309712</v>
      </c>
      <c r="Y12" s="539">
        <v>68.455874459049156</v>
      </c>
      <c r="Z12" s="539">
        <v>162.13295412953281</v>
      </c>
      <c r="AA12" s="539">
        <v>1527.4732225949915</v>
      </c>
      <c r="AB12" s="539">
        <v>85.942700000000002</v>
      </c>
      <c r="AC12" s="539">
        <v>1006.2035426718669</v>
      </c>
      <c r="AD12" s="539">
        <v>473.89524106944361</v>
      </c>
      <c r="AE12" s="539">
        <v>320.20564121074483</v>
      </c>
      <c r="AF12" s="539">
        <v>263.17065963823865</v>
      </c>
      <c r="AG12" s="539">
        <v>1026.5887285878582</v>
      </c>
      <c r="AI12" s="536">
        <f t="shared" si="15"/>
        <v>9</v>
      </c>
      <c r="AJ12" s="543">
        <f t="shared" si="16"/>
        <v>0</v>
      </c>
      <c r="AK12" s="543">
        <f t="shared" si="16"/>
        <v>326214.19264287921</v>
      </c>
      <c r="AL12" s="543">
        <f t="shared" si="3"/>
        <v>139824.90318076222</v>
      </c>
      <c r="AM12" s="543">
        <f t="shared" si="3"/>
        <v>68444.318043177598</v>
      </c>
      <c r="AN12" s="543">
        <f t="shared" si="3"/>
        <v>279144.87459970161</v>
      </c>
      <c r="AO12" s="543">
        <f t="shared" si="3"/>
        <v>168246.58306646775</v>
      </c>
      <c r="AP12" s="543">
        <f t="shared" si="3"/>
        <v>0</v>
      </c>
      <c r="AQ12" s="543">
        <f t="shared" si="3"/>
        <v>193719.30185643851</v>
      </c>
      <c r="AR12" s="543">
        <f t="shared" si="3"/>
        <v>97085.541462000008</v>
      </c>
      <c r="AS12" s="543">
        <f t="shared" si="3"/>
        <v>42908.690309712001</v>
      </c>
      <c r="AT12" s="543">
        <f t="shared" si="3"/>
        <v>68455.874459049155</v>
      </c>
      <c r="AU12" s="543">
        <f t="shared" si="3"/>
        <v>162132.95412953279</v>
      </c>
      <c r="AV12" s="545">
        <f t="shared" si="3"/>
        <v>1527473.2225949916</v>
      </c>
      <c r="AW12" s="543">
        <f t="shared" si="3"/>
        <v>85942.7</v>
      </c>
      <c r="AX12" s="545">
        <f t="shared" si="3"/>
        <v>1006203.5426718669</v>
      </c>
      <c r="AY12" s="545">
        <f t="shared" si="3"/>
        <v>473895.24106944364</v>
      </c>
      <c r="AZ12" s="543">
        <f t="shared" si="3"/>
        <v>320205.64121074486</v>
      </c>
      <c r="BA12" s="543">
        <f t="shared" si="3"/>
        <v>263170.65963823866</v>
      </c>
      <c r="BB12" s="545">
        <f t="shared" si="3"/>
        <v>1026588.7285878583</v>
      </c>
      <c r="BC12" s="543">
        <f t="shared" si="17"/>
        <v>6249656.9695228655</v>
      </c>
      <c r="BE12" s="548">
        <f t="shared" si="18"/>
        <v>9</v>
      </c>
      <c r="BF12" s="549">
        <f t="shared" si="4"/>
        <v>1527473.2225949916</v>
      </c>
      <c r="BG12" s="549">
        <f t="shared" si="5"/>
        <v>1026588.7285878583</v>
      </c>
      <c r="BH12" s="549">
        <f t="shared" si="6"/>
        <v>1006203.5426718669</v>
      </c>
      <c r="BI12" s="549">
        <f t="shared" si="7"/>
        <v>473895.24106944364</v>
      </c>
      <c r="BJ12" s="550">
        <f t="shared" si="19"/>
        <v>2215496.2345987041</v>
      </c>
      <c r="BK12" s="550">
        <f t="shared" si="20"/>
        <v>6249656.9695228636</v>
      </c>
      <c r="BL12" s="651"/>
      <c r="BN12" s="536">
        <f t="shared" si="21"/>
        <v>9</v>
      </c>
      <c r="BO12">
        <v>-1053.6374738674331</v>
      </c>
      <c r="BR12" s="551">
        <f t="shared" si="8"/>
        <v>9</v>
      </c>
      <c r="BS12" s="552">
        <f t="shared" si="22"/>
        <v>1053637.4738674331</v>
      </c>
      <c r="BV12" s="536">
        <f t="shared" si="23"/>
        <v>9</v>
      </c>
      <c r="BW12" s="537">
        <v>-1439.0559000418157</v>
      </c>
      <c r="BZ12" s="551">
        <f t="shared" si="9"/>
        <v>9</v>
      </c>
      <c r="CA12" s="552">
        <f t="shared" si="24"/>
        <v>1439055.9000418156</v>
      </c>
      <c r="CD12" s="551">
        <f t="shared" si="25"/>
        <v>9</v>
      </c>
      <c r="CE12" s="654">
        <f t="shared" si="26"/>
        <v>6249656.9695228636</v>
      </c>
      <c r="CF12" s="654">
        <v>249986.27878091458</v>
      </c>
      <c r="CG12" s="654">
        <v>249986.27878091458</v>
      </c>
      <c r="CH12" s="654">
        <v>33752.484458685271</v>
      </c>
    </row>
    <row r="13" spans="2:86">
      <c r="B13" s="536">
        <v>10</v>
      </c>
      <c r="C13" s="537">
        <v>-87.622332641388866</v>
      </c>
      <c r="D13" s="537">
        <v>-404.41076603717931</v>
      </c>
      <c r="E13" s="537">
        <v>-674.01794339529897</v>
      </c>
      <c r="G13" s="551">
        <f t="shared" si="2"/>
        <v>10</v>
      </c>
      <c r="H13" s="552">
        <f t="shared" si="10"/>
        <v>87622.332641388872</v>
      </c>
      <c r="I13" s="552">
        <f t="shared" si="11"/>
        <v>404410.76603717933</v>
      </c>
      <c r="J13" s="552">
        <f t="shared" si="12"/>
        <v>674017.94339529902</v>
      </c>
      <c r="K13" s="552">
        <f t="shared" si="13"/>
        <v>1166051.0420738673</v>
      </c>
      <c r="N13" s="536">
        <f t="shared" si="14"/>
        <v>10</v>
      </c>
      <c r="O13" s="539">
        <v>0</v>
      </c>
      <c r="P13" s="539">
        <v>326.2141926428792</v>
      </c>
      <c r="Q13" s="539">
        <v>139.82490318076222</v>
      </c>
      <c r="R13" s="539">
        <v>68.444318043177603</v>
      </c>
      <c r="S13" s="539">
        <v>279.14487459970161</v>
      </c>
      <c r="T13" s="539">
        <v>168.24658306646774</v>
      </c>
      <c r="U13" s="539">
        <v>0</v>
      </c>
      <c r="V13" s="539">
        <v>193.71930185643851</v>
      </c>
      <c r="W13" s="539">
        <v>97.085541462000009</v>
      </c>
      <c r="X13" s="539">
        <v>42.908690309712</v>
      </c>
      <c r="Y13" s="539">
        <v>68.455874459049156</v>
      </c>
      <c r="Z13" s="539">
        <v>162.13295412953281</v>
      </c>
      <c r="AA13" s="539">
        <v>1527.4732225949915</v>
      </c>
      <c r="AB13" s="539">
        <v>85.942700000000002</v>
      </c>
      <c r="AC13" s="539">
        <v>1006.2035426718669</v>
      </c>
      <c r="AD13" s="539">
        <v>473.89524106944361</v>
      </c>
      <c r="AE13" s="539">
        <v>320.20564121074483</v>
      </c>
      <c r="AF13" s="539">
        <v>263.17065963823865</v>
      </c>
      <c r="AG13" s="539">
        <v>1026.5887285878582</v>
      </c>
      <c r="AI13" s="536">
        <f t="shared" si="15"/>
        <v>10</v>
      </c>
      <c r="AJ13" s="543">
        <f t="shared" si="16"/>
        <v>0</v>
      </c>
      <c r="AK13" s="543">
        <f t="shared" si="16"/>
        <v>326214.19264287921</v>
      </c>
      <c r="AL13" s="543">
        <f t="shared" si="3"/>
        <v>139824.90318076222</v>
      </c>
      <c r="AM13" s="543">
        <f t="shared" si="3"/>
        <v>68444.318043177598</v>
      </c>
      <c r="AN13" s="543">
        <f t="shared" si="3"/>
        <v>279144.87459970161</v>
      </c>
      <c r="AO13" s="543">
        <f t="shared" si="3"/>
        <v>168246.58306646775</v>
      </c>
      <c r="AP13" s="543">
        <f t="shared" si="3"/>
        <v>0</v>
      </c>
      <c r="AQ13" s="543">
        <f t="shared" si="3"/>
        <v>193719.30185643851</v>
      </c>
      <c r="AR13" s="543">
        <f t="shared" si="3"/>
        <v>97085.541462000008</v>
      </c>
      <c r="AS13" s="543">
        <f t="shared" si="3"/>
        <v>42908.690309712001</v>
      </c>
      <c r="AT13" s="543">
        <f t="shared" si="3"/>
        <v>68455.874459049155</v>
      </c>
      <c r="AU13" s="543">
        <f t="shared" si="3"/>
        <v>162132.95412953279</v>
      </c>
      <c r="AV13" s="545">
        <f t="shared" si="3"/>
        <v>1527473.2225949916</v>
      </c>
      <c r="AW13" s="543">
        <f t="shared" si="3"/>
        <v>85942.7</v>
      </c>
      <c r="AX13" s="545">
        <f t="shared" si="3"/>
        <v>1006203.5426718669</v>
      </c>
      <c r="AY13" s="545">
        <f t="shared" si="3"/>
        <v>473895.24106944364</v>
      </c>
      <c r="AZ13" s="543">
        <f t="shared" si="3"/>
        <v>320205.64121074486</v>
      </c>
      <c r="BA13" s="543">
        <f t="shared" si="3"/>
        <v>263170.65963823866</v>
      </c>
      <c r="BB13" s="545">
        <f t="shared" si="3"/>
        <v>1026588.7285878583</v>
      </c>
      <c r="BC13" s="543">
        <f t="shared" si="17"/>
        <v>6249656.9695228655</v>
      </c>
      <c r="BE13" s="548">
        <f t="shared" si="18"/>
        <v>10</v>
      </c>
      <c r="BF13" s="549">
        <f t="shared" si="4"/>
        <v>1527473.2225949916</v>
      </c>
      <c r="BG13" s="549">
        <f t="shared" si="5"/>
        <v>1026588.7285878583</v>
      </c>
      <c r="BH13" s="549">
        <f t="shared" si="6"/>
        <v>1006203.5426718669</v>
      </c>
      <c r="BI13" s="549">
        <f t="shared" si="7"/>
        <v>473895.24106944364</v>
      </c>
      <c r="BJ13" s="550">
        <f t="shared" si="19"/>
        <v>2215496.2345987041</v>
      </c>
      <c r="BK13" s="550">
        <f t="shared" si="20"/>
        <v>6249656.9695228636</v>
      </c>
      <c r="BL13" s="651"/>
      <c r="BN13" s="536">
        <f t="shared" si="21"/>
        <v>10</v>
      </c>
      <c r="BO13">
        <v>-1053.6374738674331</v>
      </c>
      <c r="BR13" s="551">
        <f t="shared" si="8"/>
        <v>10</v>
      </c>
      <c r="BS13" s="552">
        <f t="shared" si="22"/>
        <v>1053637.4738674331</v>
      </c>
      <c r="BV13" s="536">
        <f t="shared" si="23"/>
        <v>10</v>
      </c>
      <c r="BW13" s="537">
        <v>-1442.6630448281703</v>
      </c>
      <c r="BZ13" s="551">
        <f t="shared" si="9"/>
        <v>10</v>
      </c>
      <c r="CA13" s="552">
        <f t="shared" si="24"/>
        <v>1442663.0448281702</v>
      </c>
      <c r="CD13" s="551">
        <f t="shared" si="25"/>
        <v>10</v>
      </c>
      <c r="CE13" s="654">
        <f t="shared" si="26"/>
        <v>6249656.9695228636</v>
      </c>
      <c r="CF13" s="654">
        <v>249986.27878091458</v>
      </c>
      <c r="CG13" s="654">
        <v>249986.27878091458</v>
      </c>
      <c r="CH13" s="654">
        <v>33835.700758444007</v>
      </c>
    </row>
    <row r="14" spans="2:86">
      <c r="B14" s="536">
        <v>11</v>
      </c>
      <c r="C14" s="537">
        <v>-87.838565720534874</v>
      </c>
      <c r="D14" s="537">
        <v>-405.40876486400703</v>
      </c>
      <c r="E14" s="537">
        <v>-675.68127477334519</v>
      </c>
      <c r="G14" s="551">
        <f t="shared" si="2"/>
        <v>11</v>
      </c>
      <c r="H14" s="552">
        <f t="shared" si="10"/>
        <v>87838.565720534869</v>
      </c>
      <c r="I14" s="552">
        <f t="shared" si="11"/>
        <v>405408.76486400701</v>
      </c>
      <c r="J14" s="552">
        <f t="shared" si="12"/>
        <v>675681.27477334521</v>
      </c>
      <c r="K14" s="552">
        <f t="shared" si="13"/>
        <v>1168928.6053578872</v>
      </c>
      <c r="N14" s="536">
        <f t="shared" si="14"/>
        <v>11</v>
      </c>
      <c r="O14" s="539">
        <v>0</v>
      </c>
      <c r="P14" s="539">
        <v>326.2141926428792</v>
      </c>
      <c r="Q14" s="539">
        <v>139.82490318076222</v>
      </c>
      <c r="R14" s="539">
        <v>68.444318043177603</v>
      </c>
      <c r="S14" s="539">
        <v>279.14487459970161</v>
      </c>
      <c r="T14" s="539">
        <v>168.24658306646774</v>
      </c>
      <c r="U14" s="539">
        <v>0</v>
      </c>
      <c r="V14" s="539">
        <v>193.71930185643851</v>
      </c>
      <c r="W14" s="539">
        <v>97.085541462000009</v>
      </c>
      <c r="X14" s="539">
        <v>42.908690309712</v>
      </c>
      <c r="Y14" s="539">
        <v>68.455874459049156</v>
      </c>
      <c r="Z14" s="539">
        <v>162.13295412953281</v>
      </c>
      <c r="AA14" s="539">
        <v>1527.4732225949915</v>
      </c>
      <c r="AB14" s="539">
        <v>85.942700000000002</v>
      </c>
      <c r="AC14" s="539">
        <v>1006.2035426718669</v>
      </c>
      <c r="AD14" s="539">
        <v>473.89524106944361</v>
      </c>
      <c r="AE14" s="539">
        <v>320.20564121074483</v>
      </c>
      <c r="AF14" s="539">
        <v>263.17065963823865</v>
      </c>
      <c r="AG14" s="539">
        <v>1026.5887285878582</v>
      </c>
      <c r="AI14" s="536">
        <f t="shared" si="15"/>
        <v>11</v>
      </c>
      <c r="AJ14" s="543">
        <f t="shared" si="16"/>
        <v>0</v>
      </c>
      <c r="AK14" s="543">
        <f t="shared" si="16"/>
        <v>326214.19264287921</v>
      </c>
      <c r="AL14" s="543">
        <f t="shared" si="3"/>
        <v>139824.90318076222</v>
      </c>
      <c r="AM14" s="543">
        <f t="shared" si="3"/>
        <v>68444.318043177598</v>
      </c>
      <c r="AN14" s="543">
        <f t="shared" si="3"/>
        <v>279144.87459970161</v>
      </c>
      <c r="AO14" s="543">
        <f t="shared" si="3"/>
        <v>168246.58306646775</v>
      </c>
      <c r="AP14" s="543">
        <f t="shared" si="3"/>
        <v>0</v>
      </c>
      <c r="AQ14" s="543">
        <f t="shared" si="3"/>
        <v>193719.30185643851</v>
      </c>
      <c r="AR14" s="543">
        <f t="shared" si="3"/>
        <v>97085.541462000008</v>
      </c>
      <c r="AS14" s="543">
        <f t="shared" si="3"/>
        <v>42908.690309712001</v>
      </c>
      <c r="AT14" s="543">
        <f t="shared" si="3"/>
        <v>68455.874459049155</v>
      </c>
      <c r="AU14" s="543">
        <f t="shared" si="3"/>
        <v>162132.95412953279</v>
      </c>
      <c r="AV14" s="545">
        <f t="shared" si="3"/>
        <v>1527473.2225949916</v>
      </c>
      <c r="AW14" s="543">
        <f t="shared" si="3"/>
        <v>85942.7</v>
      </c>
      <c r="AX14" s="545">
        <f t="shared" si="3"/>
        <v>1006203.5426718669</v>
      </c>
      <c r="AY14" s="545">
        <f t="shared" si="3"/>
        <v>473895.24106944364</v>
      </c>
      <c r="AZ14" s="543">
        <f t="shared" si="3"/>
        <v>320205.64121074486</v>
      </c>
      <c r="BA14" s="543">
        <f t="shared" si="3"/>
        <v>263170.65963823866</v>
      </c>
      <c r="BB14" s="545">
        <f t="shared" si="3"/>
        <v>1026588.7285878583</v>
      </c>
      <c r="BC14" s="543">
        <f t="shared" si="17"/>
        <v>6249656.9695228655</v>
      </c>
      <c r="BE14" s="548">
        <f t="shared" si="18"/>
        <v>11</v>
      </c>
      <c r="BF14" s="549">
        <f t="shared" si="4"/>
        <v>1527473.2225949916</v>
      </c>
      <c r="BG14" s="549">
        <f t="shared" si="5"/>
        <v>1026588.7285878583</v>
      </c>
      <c r="BH14" s="549">
        <f t="shared" si="6"/>
        <v>1006203.5426718669</v>
      </c>
      <c r="BI14" s="549">
        <f t="shared" si="7"/>
        <v>473895.24106944364</v>
      </c>
      <c r="BJ14" s="550">
        <f t="shared" si="19"/>
        <v>2215496.2345987041</v>
      </c>
      <c r="BK14" s="550">
        <f t="shared" si="20"/>
        <v>6249656.9695228636</v>
      </c>
      <c r="BL14" s="651"/>
      <c r="BN14" s="536">
        <f t="shared" si="21"/>
        <v>11</v>
      </c>
      <c r="BO14">
        <v>-1053.6374738674331</v>
      </c>
      <c r="BR14" s="551">
        <f t="shared" si="8"/>
        <v>11</v>
      </c>
      <c r="BS14" s="552">
        <f t="shared" si="22"/>
        <v>1053637.4738674331</v>
      </c>
      <c r="BV14" s="536">
        <f t="shared" si="23"/>
        <v>11</v>
      </c>
      <c r="BW14" s="537">
        <v>-1446.282453906799</v>
      </c>
      <c r="BZ14" s="551">
        <f t="shared" si="9"/>
        <v>11</v>
      </c>
      <c r="CA14" s="552">
        <f t="shared" si="24"/>
        <v>1446282.453906799</v>
      </c>
      <c r="CD14" s="551">
        <f t="shared" si="25"/>
        <v>11</v>
      </c>
      <c r="CE14" s="654">
        <f t="shared" si="26"/>
        <v>6249656.9695228636</v>
      </c>
      <c r="CF14" s="654">
        <v>249986.27878091458</v>
      </c>
      <c r="CG14" s="654">
        <v>249986.27878091458</v>
      </c>
      <c r="CH14" s="654">
        <v>33919.199993621922</v>
      </c>
    </row>
    <row r="15" spans="2:86">
      <c r="B15" s="536">
        <v>12</v>
      </c>
      <c r="C15" s="537">
        <v>-88.055533992149961</v>
      </c>
      <c r="D15" s="537">
        <v>-406.41015688684593</v>
      </c>
      <c r="E15" s="537">
        <v>-677.35026147807662</v>
      </c>
      <c r="G15" s="551">
        <f t="shared" si="2"/>
        <v>12</v>
      </c>
      <c r="H15" s="552">
        <f t="shared" si="10"/>
        <v>88055.533992149954</v>
      </c>
      <c r="I15" s="552">
        <f t="shared" si="11"/>
        <v>406410.15688684594</v>
      </c>
      <c r="J15" s="552">
        <f t="shared" si="12"/>
        <v>677350.26147807657</v>
      </c>
      <c r="K15" s="552">
        <f t="shared" si="13"/>
        <v>1171815.9523570724</v>
      </c>
      <c r="N15" s="536">
        <f t="shared" si="14"/>
        <v>12</v>
      </c>
      <c r="O15" s="539">
        <v>0</v>
      </c>
      <c r="P15" s="539">
        <v>326.2141926428792</v>
      </c>
      <c r="Q15" s="539">
        <v>139.82490318076222</v>
      </c>
      <c r="R15" s="539">
        <v>68.444318043177603</v>
      </c>
      <c r="S15" s="539">
        <v>279.14487459970161</v>
      </c>
      <c r="T15" s="539">
        <v>168.24658306646774</v>
      </c>
      <c r="U15" s="539">
        <v>0</v>
      </c>
      <c r="V15" s="539">
        <v>193.71930185643851</v>
      </c>
      <c r="W15" s="539">
        <v>97.085541462000009</v>
      </c>
      <c r="X15" s="539">
        <v>42.908690309712</v>
      </c>
      <c r="Y15" s="539">
        <v>68.455874459049156</v>
      </c>
      <c r="Z15" s="539">
        <v>162.13295412953281</v>
      </c>
      <c r="AA15" s="539">
        <v>1527.4732225949915</v>
      </c>
      <c r="AB15" s="539">
        <v>85.942700000000002</v>
      </c>
      <c r="AC15" s="539">
        <v>1006.2035426718669</v>
      </c>
      <c r="AD15" s="539">
        <v>473.89524106944361</v>
      </c>
      <c r="AE15" s="539">
        <v>320.20564121074483</v>
      </c>
      <c r="AF15" s="539">
        <v>263.17065963823865</v>
      </c>
      <c r="AG15" s="539">
        <v>1026.5887285878582</v>
      </c>
      <c r="AI15" s="536">
        <f t="shared" si="15"/>
        <v>12</v>
      </c>
      <c r="AJ15" s="543">
        <f t="shared" si="16"/>
        <v>0</v>
      </c>
      <c r="AK15" s="543">
        <f t="shared" si="16"/>
        <v>326214.19264287921</v>
      </c>
      <c r="AL15" s="543">
        <f t="shared" si="3"/>
        <v>139824.90318076222</v>
      </c>
      <c r="AM15" s="543">
        <f t="shared" si="3"/>
        <v>68444.318043177598</v>
      </c>
      <c r="AN15" s="543">
        <f t="shared" si="3"/>
        <v>279144.87459970161</v>
      </c>
      <c r="AO15" s="543">
        <f t="shared" si="3"/>
        <v>168246.58306646775</v>
      </c>
      <c r="AP15" s="543">
        <f t="shared" si="3"/>
        <v>0</v>
      </c>
      <c r="AQ15" s="543">
        <f t="shared" si="3"/>
        <v>193719.30185643851</v>
      </c>
      <c r="AR15" s="543">
        <f t="shared" si="3"/>
        <v>97085.541462000008</v>
      </c>
      <c r="AS15" s="543">
        <f t="shared" si="3"/>
        <v>42908.690309712001</v>
      </c>
      <c r="AT15" s="543">
        <f t="shared" si="3"/>
        <v>68455.874459049155</v>
      </c>
      <c r="AU15" s="543">
        <f t="shared" si="3"/>
        <v>162132.95412953279</v>
      </c>
      <c r="AV15" s="545">
        <f t="shared" si="3"/>
        <v>1527473.2225949916</v>
      </c>
      <c r="AW15" s="543">
        <f t="shared" si="3"/>
        <v>85942.7</v>
      </c>
      <c r="AX15" s="545">
        <f t="shared" si="3"/>
        <v>1006203.5426718669</v>
      </c>
      <c r="AY15" s="545">
        <f t="shared" si="3"/>
        <v>473895.24106944364</v>
      </c>
      <c r="AZ15" s="543">
        <f t="shared" si="3"/>
        <v>320205.64121074486</v>
      </c>
      <c r="BA15" s="543">
        <f t="shared" si="3"/>
        <v>263170.65963823866</v>
      </c>
      <c r="BB15" s="545">
        <f t="shared" si="3"/>
        <v>1026588.7285878583</v>
      </c>
      <c r="BC15" s="543">
        <f t="shared" si="17"/>
        <v>6249656.9695228655</v>
      </c>
      <c r="BE15" s="548">
        <f t="shared" si="18"/>
        <v>12</v>
      </c>
      <c r="BF15" s="549">
        <f t="shared" si="4"/>
        <v>1527473.2225949916</v>
      </c>
      <c r="BG15" s="549">
        <f t="shared" si="5"/>
        <v>1026588.7285878583</v>
      </c>
      <c r="BH15" s="549">
        <f t="shared" si="6"/>
        <v>1006203.5426718669</v>
      </c>
      <c r="BI15" s="549">
        <f t="shared" si="7"/>
        <v>473895.24106944364</v>
      </c>
      <c r="BJ15" s="550">
        <f t="shared" si="19"/>
        <v>2215496.2345987041</v>
      </c>
      <c r="BK15" s="550">
        <f t="shared" si="20"/>
        <v>6249656.9695228636</v>
      </c>
      <c r="BL15" s="651"/>
      <c r="BN15" s="536">
        <f t="shared" si="21"/>
        <v>12</v>
      </c>
      <c r="BO15">
        <v>-1053.6374738674331</v>
      </c>
      <c r="BR15" s="551">
        <f t="shared" si="8"/>
        <v>12</v>
      </c>
      <c r="BS15" s="552">
        <f t="shared" si="22"/>
        <v>1053637.4738674331</v>
      </c>
      <c r="BV15" s="536">
        <f t="shared" si="23"/>
        <v>12</v>
      </c>
      <c r="BW15" s="537">
        <v>-1449.9141689762946</v>
      </c>
      <c r="BZ15" s="551">
        <f t="shared" si="9"/>
        <v>12</v>
      </c>
      <c r="CA15" s="552">
        <f t="shared" si="24"/>
        <v>1449914.1689762946</v>
      </c>
      <c r="CD15" s="551">
        <f t="shared" si="25"/>
        <v>12</v>
      </c>
      <c r="CE15" s="654">
        <f t="shared" si="26"/>
        <v>6249656.9695228636</v>
      </c>
      <c r="CF15" s="654">
        <v>249986.27878091458</v>
      </c>
      <c r="CG15" s="654">
        <v>249986.27878091458</v>
      </c>
      <c r="CH15" s="654">
        <v>34002.983126199448</v>
      </c>
    </row>
    <row r="16" spans="2:86">
      <c r="B16" s="536">
        <v>13</v>
      </c>
      <c r="C16" s="537">
        <v>-88.273239955888556</v>
      </c>
      <c r="D16" s="537">
        <v>-407.41495364256247</v>
      </c>
      <c r="E16" s="537">
        <v>-679.02492273760424</v>
      </c>
      <c r="G16" s="551">
        <f t="shared" si="2"/>
        <v>13</v>
      </c>
      <c r="H16" s="552">
        <f t="shared" si="10"/>
        <v>88273.239955888552</v>
      </c>
      <c r="I16" s="552">
        <f t="shared" si="11"/>
        <v>407414.95364256244</v>
      </c>
      <c r="J16" s="552">
        <f t="shared" si="12"/>
        <v>679024.92273760424</v>
      </c>
      <c r="K16" s="552">
        <f t="shared" si="13"/>
        <v>1174713.1163360551</v>
      </c>
      <c r="N16" s="536">
        <f t="shared" si="14"/>
        <v>13</v>
      </c>
      <c r="O16" s="539">
        <v>0</v>
      </c>
      <c r="P16" s="539">
        <v>326.2141926428792</v>
      </c>
      <c r="Q16" s="539">
        <v>139.82490318076222</v>
      </c>
      <c r="R16" s="539">
        <v>68.444318043177603</v>
      </c>
      <c r="S16" s="539">
        <v>279.14487459970161</v>
      </c>
      <c r="T16" s="539">
        <v>168.24658306646774</v>
      </c>
      <c r="U16" s="539">
        <v>0</v>
      </c>
      <c r="V16" s="539">
        <v>193.71930185643851</v>
      </c>
      <c r="W16" s="539">
        <v>97.085541462000009</v>
      </c>
      <c r="X16" s="539">
        <v>42.908690309712</v>
      </c>
      <c r="Y16" s="539">
        <v>68.455874459049156</v>
      </c>
      <c r="Z16" s="539">
        <v>162.13295412953281</v>
      </c>
      <c r="AA16" s="539">
        <v>1527.4732225949915</v>
      </c>
      <c r="AB16" s="539">
        <v>85.942700000000002</v>
      </c>
      <c r="AC16" s="539">
        <v>1006.2035426718669</v>
      </c>
      <c r="AD16" s="539">
        <v>473.89524106944361</v>
      </c>
      <c r="AE16" s="539">
        <v>320.20564121074483</v>
      </c>
      <c r="AF16" s="539">
        <v>263.17065963823865</v>
      </c>
      <c r="AG16" s="539">
        <v>1026.5887285878582</v>
      </c>
      <c r="AI16" s="536">
        <f t="shared" si="15"/>
        <v>13</v>
      </c>
      <c r="AJ16" s="543">
        <f t="shared" si="16"/>
        <v>0</v>
      </c>
      <c r="AK16" s="543">
        <f t="shared" si="16"/>
        <v>326214.19264287921</v>
      </c>
      <c r="AL16" s="543">
        <f t="shared" si="3"/>
        <v>139824.90318076222</v>
      </c>
      <c r="AM16" s="543">
        <f t="shared" si="3"/>
        <v>68444.318043177598</v>
      </c>
      <c r="AN16" s="543">
        <f t="shared" si="3"/>
        <v>279144.87459970161</v>
      </c>
      <c r="AO16" s="543">
        <f t="shared" si="3"/>
        <v>168246.58306646775</v>
      </c>
      <c r="AP16" s="543">
        <f t="shared" si="3"/>
        <v>0</v>
      </c>
      <c r="AQ16" s="543">
        <f t="shared" si="3"/>
        <v>193719.30185643851</v>
      </c>
      <c r="AR16" s="543">
        <f t="shared" si="3"/>
        <v>97085.541462000008</v>
      </c>
      <c r="AS16" s="543">
        <f t="shared" si="3"/>
        <v>42908.690309712001</v>
      </c>
      <c r="AT16" s="543">
        <f t="shared" si="3"/>
        <v>68455.874459049155</v>
      </c>
      <c r="AU16" s="543">
        <f t="shared" si="3"/>
        <v>162132.95412953279</v>
      </c>
      <c r="AV16" s="545">
        <f t="shared" si="3"/>
        <v>1527473.2225949916</v>
      </c>
      <c r="AW16" s="543">
        <f t="shared" si="3"/>
        <v>85942.7</v>
      </c>
      <c r="AX16" s="545">
        <f t="shared" si="3"/>
        <v>1006203.5426718669</v>
      </c>
      <c r="AY16" s="545">
        <f t="shared" si="3"/>
        <v>473895.24106944364</v>
      </c>
      <c r="AZ16" s="543">
        <f t="shared" si="3"/>
        <v>320205.64121074486</v>
      </c>
      <c r="BA16" s="543">
        <f t="shared" si="3"/>
        <v>263170.65963823866</v>
      </c>
      <c r="BB16" s="545">
        <f t="shared" si="3"/>
        <v>1026588.7285878583</v>
      </c>
      <c r="BC16" s="543">
        <f t="shared" si="17"/>
        <v>6249656.9695228655</v>
      </c>
      <c r="BE16" s="548">
        <f t="shared" si="18"/>
        <v>13</v>
      </c>
      <c r="BF16" s="549">
        <f t="shared" si="4"/>
        <v>1527473.2225949916</v>
      </c>
      <c r="BG16" s="549">
        <f t="shared" si="5"/>
        <v>1026588.7285878583</v>
      </c>
      <c r="BH16" s="549">
        <f t="shared" si="6"/>
        <v>1006203.5426718669</v>
      </c>
      <c r="BI16" s="549">
        <f t="shared" si="7"/>
        <v>473895.24106944364</v>
      </c>
      <c r="BJ16" s="550">
        <f t="shared" si="19"/>
        <v>2215496.2345987041</v>
      </c>
      <c r="BK16" s="550">
        <f t="shared" si="20"/>
        <v>6249656.9695228636</v>
      </c>
      <c r="BL16" s="651"/>
      <c r="BN16" s="536">
        <f t="shared" si="21"/>
        <v>13</v>
      </c>
      <c r="BO16">
        <v>-1053.6374738674331</v>
      </c>
      <c r="BR16" s="551">
        <f t="shared" si="8"/>
        <v>13</v>
      </c>
      <c r="BS16" s="552">
        <f t="shared" si="22"/>
        <v>1053637.4738674331</v>
      </c>
      <c r="BV16" s="536">
        <f t="shared" si="23"/>
        <v>13</v>
      </c>
      <c r="BW16" s="537">
        <v>-1453.5582318770266</v>
      </c>
      <c r="BZ16" s="551">
        <f t="shared" si="9"/>
        <v>13</v>
      </c>
      <c r="CA16" s="552">
        <f t="shared" si="24"/>
        <v>1453558.2318770266</v>
      </c>
      <c r="CD16" s="551">
        <f t="shared" si="25"/>
        <v>13</v>
      </c>
      <c r="CE16" s="654">
        <f t="shared" si="26"/>
        <v>6249656.9695228636</v>
      </c>
      <c r="CF16" s="654">
        <v>249986.27878091458</v>
      </c>
      <c r="CG16" s="654">
        <v>249986.27878091458</v>
      </c>
      <c r="CH16" s="654">
        <v>34087.051121427729</v>
      </c>
    </row>
    <row r="17" spans="2:86">
      <c r="B17" s="536">
        <v>14</v>
      </c>
      <c r="C17" s="537">
        <v>-88.491686119903861</v>
      </c>
      <c r="D17" s="537">
        <v>-408.42316670724853</v>
      </c>
      <c r="E17" s="537">
        <v>-680.70527784541434</v>
      </c>
      <c r="G17" s="551">
        <f t="shared" si="2"/>
        <v>14</v>
      </c>
      <c r="H17" s="552">
        <f t="shared" si="10"/>
        <v>88491.686119903854</v>
      </c>
      <c r="I17" s="552">
        <f t="shared" si="11"/>
        <v>408423.16670724854</v>
      </c>
      <c r="J17" s="552">
        <f t="shared" si="12"/>
        <v>680705.27784541436</v>
      </c>
      <c r="K17" s="552">
        <f t="shared" si="13"/>
        <v>1177620.1306725668</v>
      </c>
      <c r="N17" s="536">
        <f t="shared" si="14"/>
        <v>14</v>
      </c>
      <c r="O17" s="539">
        <v>0</v>
      </c>
      <c r="P17" s="539">
        <v>326.2141926428792</v>
      </c>
      <c r="Q17" s="539">
        <v>139.82490318076222</v>
      </c>
      <c r="R17" s="539">
        <v>68.444318043177603</v>
      </c>
      <c r="S17" s="539">
        <v>279.14487459970161</v>
      </c>
      <c r="T17" s="539">
        <v>168.24658306646774</v>
      </c>
      <c r="U17" s="539">
        <v>0</v>
      </c>
      <c r="V17" s="539">
        <v>193.71930185643851</v>
      </c>
      <c r="W17" s="539">
        <v>97.085541462000009</v>
      </c>
      <c r="X17" s="539">
        <v>42.908690309712</v>
      </c>
      <c r="Y17" s="539">
        <v>68.455874459049156</v>
      </c>
      <c r="Z17" s="539">
        <v>162.13295412953281</v>
      </c>
      <c r="AA17" s="539">
        <v>1527.4732225949915</v>
      </c>
      <c r="AB17" s="539">
        <v>85.942700000000002</v>
      </c>
      <c r="AC17" s="539">
        <v>1006.2035426718669</v>
      </c>
      <c r="AD17" s="539">
        <v>473.89524106944361</v>
      </c>
      <c r="AE17" s="539">
        <v>320.20564121074483</v>
      </c>
      <c r="AF17" s="539">
        <v>263.17065963823865</v>
      </c>
      <c r="AG17" s="539">
        <v>1026.5887285878582</v>
      </c>
      <c r="AI17" s="536">
        <f t="shared" si="15"/>
        <v>14</v>
      </c>
      <c r="AJ17" s="543">
        <f t="shared" si="16"/>
        <v>0</v>
      </c>
      <c r="AK17" s="543">
        <f t="shared" si="16"/>
        <v>326214.19264287921</v>
      </c>
      <c r="AL17" s="543">
        <f t="shared" si="3"/>
        <v>139824.90318076222</v>
      </c>
      <c r="AM17" s="543">
        <f t="shared" si="3"/>
        <v>68444.318043177598</v>
      </c>
      <c r="AN17" s="543">
        <f t="shared" si="3"/>
        <v>279144.87459970161</v>
      </c>
      <c r="AO17" s="543">
        <f t="shared" si="3"/>
        <v>168246.58306646775</v>
      </c>
      <c r="AP17" s="543">
        <f t="shared" si="3"/>
        <v>0</v>
      </c>
      <c r="AQ17" s="543">
        <f t="shared" si="3"/>
        <v>193719.30185643851</v>
      </c>
      <c r="AR17" s="543">
        <f t="shared" si="3"/>
        <v>97085.541462000008</v>
      </c>
      <c r="AS17" s="543">
        <f t="shared" si="3"/>
        <v>42908.690309712001</v>
      </c>
      <c r="AT17" s="543">
        <f t="shared" si="3"/>
        <v>68455.874459049155</v>
      </c>
      <c r="AU17" s="543">
        <f t="shared" si="3"/>
        <v>162132.95412953279</v>
      </c>
      <c r="AV17" s="545">
        <f t="shared" si="3"/>
        <v>1527473.2225949916</v>
      </c>
      <c r="AW17" s="543">
        <f t="shared" si="3"/>
        <v>85942.7</v>
      </c>
      <c r="AX17" s="545">
        <f t="shared" si="3"/>
        <v>1006203.5426718669</v>
      </c>
      <c r="AY17" s="545">
        <f t="shared" si="3"/>
        <v>473895.24106944364</v>
      </c>
      <c r="AZ17" s="543">
        <f t="shared" si="3"/>
        <v>320205.64121074486</v>
      </c>
      <c r="BA17" s="543">
        <f t="shared" si="3"/>
        <v>263170.65963823866</v>
      </c>
      <c r="BB17" s="545">
        <f t="shared" si="3"/>
        <v>1026588.7285878583</v>
      </c>
      <c r="BC17" s="543">
        <f t="shared" si="17"/>
        <v>6249656.9695228655</v>
      </c>
      <c r="BE17" s="548">
        <f t="shared" si="18"/>
        <v>14</v>
      </c>
      <c r="BF17" s="549">
        <f t="shared" si="4"/>
        <v>1527473.2225949916</v>
      </c>
      <c r="BG17" s="549">
        <f t="shared" si="5"/>
        <v>1026588.7285878583</v>
      </c>
      <c r="BH17" s="549">
        <f t="shared" si="6"/>
        <v>1006203.5426718669</v>
      </c>
      <c r="BI17" s="549">
        <f t="shared" si="7"/>
        <v>473895.24106944364</v>
      </c>
      <c r="BJ17" s="550">
        <f t="shared" si="19"/>
        <v>2215496.2345987041</v>
      </c>
      <c r="BK17" s="550">
        <f t="shared" si="20"/>
        <v>6249656.9695228636</v>
      </c>
      <c r="BL17" s="651"/>
      <c r="BN17" s="536">
        <f t="shared" si="21"/>
        <v>14</v>
      </c>
      <c r="BO17">
        <v>-1053.6374738674331</v>
      </c>
      <c r="BR17" s="551">
        <f t="shared" si="8"/>
        <v>14</v>
      </c>
      <c r="BS17" s="552">
        <f t="shared" si="22"/>
        <v>1053637.4738674331</v>
      </c>
      <c r="BV17" s="536">
        <f t="shared" si="23"/>
        <v>14</v>
      </c>
      <c r="BW17" s="537">
        <v>-1457.2146845916213</v>
      </c>
      <c r="BZ17" s="551">
        <f t="shared" si="9"/>
        <v>14</v>
      </c>
      <c r="CA17" s="552">
        <f t="shared" si="24"/>
        <v>1457214.6845916214</v>
      </c>
      <c r="CD17" s="551">
        <f t="shared" si="25"/>
        <v>14</v>
      </c>
      <c r="CE17" s="654">
        <f t="shared" si="26"/>
        <v>6249656.9695228636</v>
      </c>
      <c r="CF17" s="654">
        <v>249986.27878091458</v>
      </c>
      <c r="CG17" s="654">
        <v>249986.27878091458</v>
      </c>
      <c r="CH17" s="654">
        <v>34171.404947839794</v>
      </c>
    </row>
    <row r="18" spans="2:86">
      <c r="B18" s="536">
        <v>15</v>
      </c>
      <c r="C18" s="537">
        <v>-88.710875000876797</v>
      </c>
      <c r="D18" s="537">
        <v>-409.43480769635437</v>
      </c>
      <c r="E18" s="537">
        <v>-682.39134616059073</v>
      </c>
      <c r="G18" s="551">
        <f t="shared" si="2"/>
        <v>15</v>
      </c>
      <c r="H18" s="552">
        <f t="shared" si="10"/>
        <v>88710.875000876797</v>
      </c>
      <c r="I18" s="552">
        <f t="shared" si="11"/>
        <v>409434.80769635434</v>
      </c>
      <c r="J18" s="552">
        <f t="shared" si="12"/>
        <v>682391.34616059077</v>
      </c>
      <c r="K18" s="552">
        <f t="shared" si="13"/>
        <v>1180537.0288578218</v>
      </c>
      <c r="N18" s="536">
        <f t="shared" si="14"/>
        <v>15</v>
      </c>
      <c r="O18" s="539">
        <v>0</v>
      </c>
      <c r="P18" s="539">
        <v>326.2141926428792</v>
      </c>
      <c r="Q18" s="539">
        <v>139.82490318076222</v>
      </c>
      <c r="R18" s="539">
        <v>68.444318043177603</v>
      </c>
      <c r="S18" s="539">
        <v>279.14487459970161</v>
      </c>
      <c r="T18" s="539">
        <v>168.24658306646774</v>
      </c>
      <c r="U18" s="539">
        <v>0</v>
      </c>
      <c r="V18" s="539">
        <v>193.71930185643851</v>
      </c>
      <c r="W18" s="539">
        <v>97.085541462000009</v>
      </c>
      <c r="X18" s="539">
        <v>42.908690309712</v>
      </c>
      <c r="Y18" s="539">
        <v>68.455874459049156</v>
      </c>
      <c r="Z18" s="539">
        <v>162.13295412953281</v>
      </c>
      <c r="AA18" s="539">
        <v>1527.4732225949915</v>
      </c>
      <c r="AB18" s="539">
        <v>85.942700000000002</v>
      </c>
      <c r="AC18" s="539">
        <v>1006.2035426718669</v>
      </c>
      <c r="AD18" s="539">
        <v>473.89524106944361</v>
      </c>
      <c r="AE18" s="539">
        <v>320.20564121074483</v>
      </c>
      <c r="AF18" s="539">
        <v>263.17065963823865</v>
      </c>
      <c r="AG18" s="539">
        <v>1026.5887285878582</v>
      </c>
      <c r="AI18" s="536">
        <f t="shared" si="15"/>
        <v>15</v>
      </c>
      <c r="AJ18" s="543">
        <f t="shared" si="16"/>
        <v>0</v>
      </c>
      <c r="AK18" s="543">
        <f t="shared" si="16"/>
        <v>326214.19264287921</v>
      </c>
      <c r="AL18" s="543">
        <f t="shared" si="3"/>
        <v>139824.90318076222</v>
      </c>
      <c r="AM18" s="543">
        <f t="shared" si="3"/>
        <v>68444.318043177598</v>
      </c>
      <c r="AN18" s="543">
        <f t="shared" si="3"/>
        <v>279144.87459970161</v>
      </c>
      <c r="AO18" s="543">
        <f t="shared" si="3"/>
        <v>168246.58306646775</v>
      </c>
      <c r="AP18" s="543">
        <f t="shared" si="3"/>
        <v>0</v>
      </c>
      <c r="AQ18" s="543">
        <f t="shared" si="3"/>
        <v>193719.30185643851</v>
      </c>
      <c r="AR18" s="543">
        <f t="shared" si="3"/>
        <v>97085.541462000008</v>
      </c>
      <c r="AS18" s="543">
        <f t="shared" si="3"/>
        <v>42908.690309712001</v>
      </c>
      <c r="AT18" s="543">
        <f t="shared" si="3"/>
        <v>68455.874459049155</v>
      </c>
      <c r="AU18" s="543">
        <f t="shared" si="3"/>
        <v>162132.95412953279</v>
      </c>
      <c r="AV18" s="545">
        <f t="shared" si="3"/>
        <v>1527473.2225949916</v>
      </c>
      <c r="AW18" s="543">
        <f t="shared" si="3"/>
        <v>85942.7</v>
      </c>
      <c r="AX18" s="545">
        <f t="shared" si="3"/>
        <v>1006203.5426718669</v>
      </c>
      <c r="AY18" s="545">
        <f t="shared" si="3"/>
        <v>473895.24106944364</v>
      </c>
      <c r="AZ18" s="543">
        <f t="shared" si="3"/>
        <v>320205.64121074486</v>
      </c>
      <c r="BA18" s="543">
        <f t="shared" si="3"/>
        <v>263170.65963823866</v>
      </c>
      <c r="BB18" s="545">
        <f t="shared" si="3"/>
        <v>1026588.7285878583</v>
      </c>
      <c r="BC18" s="543">
        <f t="shared" si="17"/>
        <v>6249656.9695228655</v>
      </c>
      <c r="BE18" s="548">
        <f t="shared" si="18"/>
        <v>15</v>
      </c>
      <c r="BF18" s="549">
        <f t="shared" si="4"/>
        <v>1527473.2225949916</v>
      </c>
      <c r="BG18" s="549">
        <f t="shared" si="5"/>
        <v>1026588.7285878583</v>
      </c>
      <c r="BH18" s="549">
        <f t="shared" si="6"/>
        <v>1006203.5426718669</v>
      </c>
      <c r="BI18" s="549">
        <f t="shared" si="7"/>
        <v>473895.24106944364</v>
      </c>
      <c r="BJ18" s="550">
        <f t="shared" si="19"/>
        <v>2215496.2345987041</v>
      </c>
      <c r="BK18" s="550">
        <f t="shared" si="20"/>
        <v>6249656.9695228636</v>
      </c>
      <c r="BL18" s="651"/>
      <c r="BN18" s="536">
        <f t="shared" si="21"/>
        <v>15</v>
      </c>
      <c r="BO18">
        <v>-1053.6374738674331</v>
      </c>
      <c r="BR18" s="551">
        <f t="shared" si="8"/>
        <v>15</v>
      </c>
      <c r="BS18" s="552">
        <f t="shared" si="22"/>
        <v>1053637.4738674331</v>
      </c>
      <c r="BV18" s="536">
        <f t="shared" si="23"/>
        <v>15</v>
      </c>
      <c r="BW18" s="537">
        <v>-1460.8835692454452</v>
      </c>
      <c r="BZ18" s="551">
        <f t="shared" si="9"/>
        <v>15</v>
      </c>
      <c r="CA18" s="552">
        <f t="shared" si="24"/>
        <v>1460883.5692454451</v>
      </c>
      <c r="CD18" s="551">
        <f t="shared" si="25"/>
        <v>15</v>
      </c>
      <c r="CE18" s="654">
        <f t="shared" si="26"/>
        <v>6249656.9695228636</v>
      </c>
      <c r="CF18" s="654">
        <v>249986.27878091458</v>
      </c>
      <c r="CG18" s="654">
        <v>249986.27878091458</v>
      </c>
      <c r="CH18" s="654">
        <v>34256.045577261655</v>
      </c>
    </row>
    <row r="19" spans="2:86">
      <c r="B19" s="536">
        <v>16</v>
      </c>
      <c r="C19" s="537">
        <v>-88.930809124045055</v>
      </c>
      <c r="D19" s="537">
        <v>-410.44988826482324</v>
      </c>
      <c r="E19" s="537">
        <v>-684.08314710803882</v>
      </c>
      <c r="G19" s="551">
        <f t="shared" si="2"/>
        <v>16</v>
      </c>
      <c r="H19" s="552">
        <f t="shared" si="10"/>
        <v>88930.809124045059</v>
      </c>
      <c r="I19" s="552">
        <f t="shared" si="11"/>
        <v>410449.88826482324</v>
      </c>
      <c r="J19" s="552">
        <f t="shared" si="12"/>
        <v>684083.14710803877</v>
      </c>
      <c r="K19" s="552">
        <f t="shared" si="13"/>
        <v>1183463.8444969072</v>
      </c>
      <c r="N19" s="536">
        <f t="shared" si="14"/>
        <v>16</v>
      </c>
      <c r="O19" s="539">
        <v>0</v>
      </c>
      <c r="P19" s="539">
        <v>326.2141926428792</v>
      </c>
      <c r="Q19" s="539">
        <v>139.82490318076222</v>
      </c>
      <c r="R19" s="539">
        <v>68.444318043177603</v>
      </c>
      <c r="S19" s="539">
        <v>279.14487459970161</v>
      </c>
      <c r="T19" s="539">
        <v>168.24658306646774</v>
      </c>
      <c r="U19" s="539">
        <v>0</v>
      </c>
      <c r="V19" s="539">
        <v>193.71930185643851</v>
      </c>
      <c r="W19" s="539">
        <v>97.085541462000009</v>
      </c>
      <c r="X19" s="539">
        <v>42.908690309712</v>
      </c>
      <c r="Y19" s="539">
        <v>68.455874459049156</v>
      </c>
      <c r="Z19" s="539">
        <v>162.13295412953281</v>
      </c>
      <c r="AA19" s="539">
        <v>1527.4732225949915</v>
      </c>
      <c r="AB19" s="539">
        <v>85.942700000000002</v>
      </c>
      <c r="AC19" s="539">
        <v>1006.2035426718669</v>
      </c>
      <c r="AD19" s="539">
        <v>473.89524106944361</v>
      </c>
      <c r="AE19" s="539">
        <v>320.20564121074483</v>
      </c>
      <c r="AF19" s="539">
        <v>263.17065963823865</v>
      </c>
      <c r="AG19" s="539">
        <v>1026.5887285878582</v>
      </c>
      <c r="AI19" s="536">
        <f t="shared" si="15"/>
        <v>16</v>
      </c>
      <c r="AJ19" s="543">
        <f t="shared" si="16"/>
        <v>0</v>
      </c>
      <c r="AK19" s="543">
        <f t="shared" si="16"/>
        <v>326214.19264287921</v>
      </c>
      <c r="AL19" s="543">
        <f t="shared" ref="AL19:AL33" si="27">Q19*1000</f>
        <v>139824.90318076222</v>
      </c>
      <c r="AM19" s="543">
        <f t="shared" ref="AM19:AM33" si="28">R19*1000</f>
        <v>68444.318043177598</v>
      </c>
      <c r="AN19" s="543">
        <f t="shared" ref="AN19:AN33" si="29">S19*1000</f>
        <v>279144.87459970161</v>
      </c>
      <c r="AO19" s="543">
        <f t="shared" ref="AO19:AO33" si="30">T19*1000</f>
        <v>168246.58306646775</v>
      </c>
      <c r="AP19" s="543">
        <f t="shared" ref="AP19:AP33" si="31">U19*1000</f>
        <v>0</v>
      </c>
      <c r="AQ19" s="543">
        <f t="shared" ref="AQ19:AQ33" si="32">V19*1000</f>
        <v>193719.30185643851</v>
      </c>
      <c r="AR19" s="543">
        <f t="shared" ref="AR19:AR33" si="33">W19*1000</f>
        <v>97085.541462000008</v>
      </c>
      <c r="AS19" s="543">
        <f t="shared" ref="AS19:AS33" si="34">X19*1000</f>
        <v>42908.690309712001</v>
      </c>
      <c r="AT19" s="543">
        <f t="shared" ref="AT19:AT33" si="35">Y19*1000</f>
        <v>68455.874459049155</v>
      </c>
      <c r="AU19" s="543">
        <f t="shared" ref="AU19:AU33" si="36">Z19*1000</f>
        <v>162132.95412953279</v>
      </c>
      <c r="AV19" s="545">
        <f t="shared" ref="AV19:AV33" si="37">AA19*1000</f>
        <v>1527473.2225949916</v>
      </c>
      <c r="AW19" s="543">
        <f t="shared" ref="AW19:AW33" si="38">AB19*1000</f>
        <v>85942.7</v>
      </c>
      <c r="AX19" s="545">
        <f t="shared" ref="AX19:AX33" si="39">AC19*1000</f>
        <v>1006203.5426718669</v>
      </c>
      <c r="AY19" s="545">
        <f t="shared" ref="AY19:AY33" si="40">AD19*1000</f>
        <v>473895.24106944364</v>
      </c>
      <c r="AZ19" s="543">
        <f t="shared" ref="AZ19:AZ33" si="41">AE19*1000</f>
        <v>320205.64121074486</v>
      </c>
      <c r="BA19" s="543">
        <f t="shared" ref="BA19:BA33" si="42">AF19*1000</f>
        <v>263170.65963823866</v>
      </c>
      <c r="BB19" s="545">
        <f t="shared" ref="BB19:BB33" si="43">AG19*1000</f>
        <v>1026588.7285878583</v>
      </c>
      <c r="BC19" s="543">
        <f t="shared" si="17"/>
        <v>6249656.9695228655</v>
      </c>
      <c r="BE19" s="548">
        <f t="shared" si="18"/>
        <v>16</v>
      </c>
      <c r="BF19" s="549">
        <f t="shared" si="4"/>
        <v>1527473.2225949916</v>
      </c>
      <c r="BG19" s="549">
        <f t="shared" si="5"/>
        <v>1026588.7285878583</v>
      </c>
      <c r="BH19" s="549">
        <f t="shared" si="6"/>
        <v>1006203.5426718669</v>
      </c>
      <c r="BI19" s="549">
        <f t="shared" si="7"/>
        <v>473895.24106944364</v>
      </c>
      <c r="BJ19" s="550">
        <f t="shared" si="19"/>
        <v>2215496.2345987041</v>
      </c>
      <c r="BK19" s="550">
        <f t="shared" si="20"/>
        <v>6249656.9695228636</v>
      </c>
      <c r="BL19" s="651"/>
      <c r="BN19" s="536">
        <f t="shared" si="21"/>
        <v>16</v>
      </c>
      <c r="BO19">
        <v>-1053.6374738674331</v>
      </c>
      <c r="BR19" s="551">
        <f t="shared" si="8"/>
        <v>16</v>
      </c>
      <c r="BS19" s="552">
        <f t="shared" si="22"/>
        <v>1053637.4738674331</v>
      </c>
      <c r="BV19" s="536">
        <f t="shared" si="23"/>
        <v>16</v>
      </c>
      <c r="BW19" s="537">
        <v>-1464.5649281070923</v>
      </c>
      <c r="BZ19" s="551">
        <f t="shared" si="9"/>
        <v>16</v>
      </c>
      <c r="CA19" s="552">
        <f t="shared" si="24"/>
        <v>1464564.9281070924</v>
      </c>
      <c r="CD19" s="551">
        <f t="shared" si="25"/>
        <v>16</v>
      </c>
      <c r="CE19" s="654">
        <f t="shared" si="26"/>
        <v>6249656.9695228636</v>
      </c>
      <c r="CF19" s="654">
        <v>249986.27878091458</v>
      </c>
      <c r="CG19" s="654">
        <v>249986.27878091458</v>
      </c>
      <c r="CH19" s="654">
        <v>34340.973984823548</v>
      </c>
    </row>
    <row r="20" spans="2:86">
      <c r="B20" s="536">
        <v>17</v>
      </c>
      <c r="C20" s="537">
        <v>-89.151491023232083</v>
      </c>
      <c r="D20" s="537">
        <v>-411.46842010722497</v>
      </c>
      <c r="E20" s="537">
        <v>-685.78070017870834</v>
      </c>
      <c r="G20" s="551">
        <f t="shared" si="2"/>
        <v>17</v>
      </c>
      <c r="H20" s="552">
        <f t="shared" si="10"/>
        <v>89151.491023232084</v>
      </c>
      <c r="I20" s="552">
        <f t="shared" si="11"/>
        <v>411468.42010722496</v>
      </c>
      <c r="J20" s="552">
        <f t="shared" si="12"/>
        <v>685780.7001787083</v>
      </c>
      <c r="K20" s="552">
        <f t="shared" si="13"/>
        <v>1186400.6113091654</v>
      </c>
      <c r="N20" s="536">
        <f t="shared" si="14"/>
        <v>17</v>
      </c>
      <c r="O20" s="539">
        <v>0</v>
      </c>
      <c r="P20" s="539">
        <v>326.2141926428792</v>
      </c>
      <c r="Q20" s="539">
        <v>139.82490318076222</v>
      </c>
      <c r="R20" s="539">
        <v>68.444318043177603</v>
      </c>
      <c r="S20" s="539">
        <v>279.14487459970161</v>
      </c>
      <c r="T20" s="539">
        <v>168.24658306646774</v>
      </c>
      <c r="U20" s="539">
        <v>0</v>
      </c>
      <c r="V20" s="539">
        <v>193.71930185643851</v>
      </c>
      <c r="W20" s="539">
        <v>97.085541462000009</v>
      </c>
      <c r="X20" s="539">
        <v>42.908690309712</v>
      </c>
      <c r="Y20" s="539">
        <v>68.455874459049156</v>
      </c>
      <c r="Z20" s="539">
        <v>162.13295412953281</v>
      </c>
      <c r="AA20" s="539">
        <v>1527.4732225949915</v>
      </c>
      <c r="AB20" s="539">
        <v>85.942700000000002</v>
      </c>
      <c r="AC20" s="539">
        <v>1006.2035426718669</v>
      </c>
      <c r="AD20" s="539">
        <v>473.89524106944361</v>
      </c>
      <c r="AE20" s="539">
        <v>320.20564121074483</v>
      </c>
      <c r="AF20" s="539">
        <v>263.17065963823865</v>
      </c>
      <c r="AG20" s="539">
        <v>1026.5887285878582</v>
      </c>
      <c r="AI20" s="536">
        <f t="shared" si="15"/>
        <v>17</v>
      </c>
      <c r="AJ20" s="543">
        <f t="shared" si="16"/>
        <v>0</v>
      </c>
      <c r="AK20" s="543">
        <f t="shared" si="16"/>
        <v>326214.19264287921</v>
      </c>
      <c r="AL20" s="543">
        <f t="shared" si="27"/>
        <v>139824.90318076222</v>
      </c>
      <c r="AM20" s="543">
        <f t="shared" si="28"/>
        <v>68444.318043177598</v>
      </c>
      <c r="AN20" s="543">
        <f t="shared" si="29"/>
        <v>279144.87459970161</v>
      </c>
      <c r="AO20" s="543">
        <f t="shared" si="30"/>
        <v>168246.58306646775</v>
      </c>
      <c r="AP20" s="543">
        <f t="shared" si="31"/>
        <v>0</v>
      </c>
      <c r="AQ20" s="543">
        <f t="shared" si="32"/>
        <v>193719.30185643851</v>
      </c>
      <c r="AR20" s="543">
        <f t="shared" si="33"/>
        <v>97085.541462000008</v>
      </c>
      <c r="AS20" s="543">
        <f t="shared" si="34"/>
        <v>42908.690309712001</v>
      </c>
      <c r="AT20" s="543">
        <f t="shared" si="35"/>
        <v>68455.874459049155</v>
      </c>
      <c r="AU20" s="543">
        <f t="shared" si="36"/>
        <v>162132.95412953279</v>
      </c>
      <c r="AV20" s="545">
        <f t="shared" si="37"/>
        <v>1527473.2225949916</v>
      </c>
      <c r="AW20" s="543">
        <f t="shared" si="38"/>
        <v>85942.7</v>
      </c>
      <c r="AX20" s="545">
        <f t="shared" si="39"/>
        <v>1006203.5426718669</v>
      </c>
      <c r="AY20" s="545">
        <f t="shared" si="40"/>
        <v>473895.24106944364</v>
      </c>
      <c r="AZ20" s="543">
        <f t="shared" si="41"/>
        <v>320205.64121074486</v>
      </c>
      <c r="BA20" s="543">
        <f t="shared" si="42"/>
        <v>263170.65963823866</v>
      </c>
      <c r="BB20" s="545">
        <f t="shared" si="43"/>
        <v>1026588.7285878583</v>
      </c>
      <c r="BC20" s="543">
        <f t="shared" si="17"/>
        <v>6249656.9695228655</v>
      </c>
      <c r="BE20" s="548">
        <f t="shared" si="18"/>
        <v>17</v>
      </c>
      <c r="BF20" s="549">
        <f t="shared" si="4"/>
        <v>1527473.2225949916</v>
      </c>
      <c r="BG20" s="549">
        <f t="shared" si="5"/>
        <v>1026588.7285878583</v>
      </c>
      <c r="BH20" s="549">
        <f t="shared" si="6"/>
        <v>1006203.5426718669</v>
      </c>
      <c r="BI20" s="549">
        <f t="shared" si="7"/>
        <v>473895.24106944364</v>
      </c>
      <c r="BJ20" s="550">
        <f t="shared" si="19"/>
        <v>2215496.2345987041</v>
      </c>
      <c r="BK20" s="550">
        <f t="shared" si="20"/>
        <v>6249656.9695228636</v>
      </c>
      <c r="BL20" s="651"/>
      <c r="BN20" s="536">
        <f t="shared" si="21"/>
        <v>17</v>
      </c>
      <c r="BO20">
        <v>-1053.6374738674331</v>
      </c>
      <c r="BR20" s="551">
        <f t="shared" si="8"/>
        <v>17</v>
      </c>
      <c r="BS20" s="552">
        <f t="shared" si="22"/>
        <v>1053637.4738674331</v>
      </c>
      <c r="BV20" s="536">
        <f t="shared" si="23"/>
        <v>17</v>
      </c>
      <c r="BW20" s="537">
        <v>-1468.2588035888693</v>
      </c>
      <c r="BZ20" s="551">
        <f t="shared" si="9"/>
        <v>17</v>
      </c>
      <c r="CA20" s="552">
        <f t="shared" si="24"/>
        <v>1468258.8035888693</v>
      </c>
      <c r="CD20" s="551">
        <f t="shared" si="25"/>
        <v>17</v>
      </c>
      <c r="CE20" s="654">
        <f t="shared" si="26"/>
        <v>6249656.9695228636</v>
      </c>
      <c r="CF20" s="654">
        <v>249986.27878091458</v>
      </c>
      <c r="CG20" s="654">
        <v>249986.27878091458</v>
      </c>
      <c r="CH20" s="654">
        <v>34426.191148971157</v>
      </c>
    </row>
    <row r="21" spans="2:86">
      <c r="B21" s="536">
        <v>18</v>
      </c>
      <c r="C21" s="537">
        <v>-89.372923240876361</v>
      </c>
      <c r="D21" s="537">
        <v>-412.49041495789089</v>
      </c>
      <c r="E21" s="537">
        <v>-687.48402492981813</v>
      </c>
      <c r="G21" s="551">
        <f t="shared" si="2"/>
        <v>18</v>
      </c>
      <c r="H21" s="552">
        <f t="shared" si="10"/>
        <v>89372.923240876364</v>
      </c>
      <c r="I21" s="552">
        <f t="shared" si="11"/>
        <v>412490.41495789087</v>
      </c>
      <c r="J21" s="552">
        <f t="shared" si="12"/>
        <v>687484.02492981812</v>
      </c>
      <c r="K21" s="552">
        <f t="shared" si="13"/>
        <v>1189347.3631285853</v>
      </c>
      <c r="N21" s="536">
        <f t="shared" si="14"/>
        <v>18</v>
      </c>
      <c r="O21" s="539">
        <v>0</v>
      </c>
      <c r="P21" s="539">
        <v>326.2141926428792</v>
      </c>
      <c r="Q21" s="539">
        <v>139.82490318076222</v>
      </c>
      <c r="R21" s="539">
        <v>68.444318043177603</v>
      </c>
      <c r="S21" s="539">
        <v>279.14487459970161</v>
      </c>
      <c r="T21" s="539">
        <v>168.24658306646774</v>
      </c>
      <c r="U21" s="539">
        <v>0</v>
      </c>
      <c r="V21" s="539">
        <v>193.71930185643851</v>
      </c>
      <c r="W21" s="539">
        <v>97.085541462000009</v>
      </c>
      <c r="X21" s="539">
        <v>42.908690309712</v>
      </c>
      <c r="Y21" s="539">
        <v>68.455874459049156</v>
      </c>
      <c r="Z21" s="539">
        <v>162.13295412953281</v>
      </c>
      <c r="AA21" s="539">
        <v>1527.4732225949915</v>
      </c>
      <c r="AB21" s="539">
        <v>85.942700000000002</v>
      </c>
      <c r="AC21" s="539">
        <v>1006.2035426718669</v>
      </c>
      <c r="AD21" s="539">
        <v>473.89524106944361</v>
      </c>
      <c r="AE21" s="539">
        <v>320.20564121074483</v>
      </c>
      <c r="AF21" s="539">
        <v>263.17065963823865</v>
      </c>
      <c r="AG21" s="539">
        <v>1026.5887285878582</v>
      </c>
      <c r="AI21" s="536">
        <f t="shared" si="15"/>
        <v>18</v>
      </c>
      <c r="AJ21" s="543">
        <f t="shared" si="16"/>
        <v>0</v>
      </c>
      <c r="AK21" s="543">
        <f t="shared" si="16"/>
        <v>326214.19264287921</v>
      </c>
      <c r="AL21" s="543">
        <f t="shared" si="27"/>
        <v>139824.90318076222</v>
      </c>
      <c r="AM21" s="543">
        <f t="shared" si="28"/>
        <v>68444.318043177598</v>
      </c>
      <c r="AN21" s="543">
        <f t="shared" si="29"/>
        <v>279144.87459970161</v>
      </c>
      <c r="AO21" s="543">
        <f t="shared" si="30"/>
        <v>168246.58306646775</v>
      </c>
      <c r="AP21" s="543">
        <f t="shared" si="31"/>
        <v>0</v>
      </c>
      <c r="AQ21" s="543">
        <f t="shared" si="32"/>
        <v>193719.30185643851</v>
      </c>
      <c r="AR21" s="543">
        <f t="shared" si="33"/>
        <v>97085.541462000008</v>
      </c>
      <c r="AS21" s="543">
        <f t="shared" si="34"/>
        <v>42908.690309712001</v>
      </c>
      <c r="AT21" s="543">
        <f t="shared" si="35"/>
        <v>68455.874459049155</v>
      </c>
      <c r="AU21" s="543">
        <f t="shared" si="36"/>
        <v>162132.95412953279</v>
      </c>
      <c r="AV21" s="545">
        <f t="shared" si="37"/>
        <v>1527473.2225949916</v>
      </c>
      <c r="AW21" s="543">
        <f t="shared" si="38"/>
        <v>85942.7</v>
      </c>
      <c r="AX21" s="545">
        <f t="shared" si="39"/>
        <v>1006203.5426718669</v>
      </c>
      <c r="AY21" s="545">
        <f t="shared" si="40"/>
        <v>473895.24106944364</v>
      </c>
      <c r="AZ21" s="543">
        <f t="shared" si="41"/>
        <v>320205.64121074486</v>
      </c>
      <c r="BA21" s="543">
        <f t="shared" si="42"/>
        <v>263170.65963823866</v>
      </c>
      <c r="BB21" s="545">
        <f t="shared" si="43"/>
        <v>1026588.7285878583</v>
      </c>
      <c r="BC21" s="543">
        <f t="shared" si="17"/>
        <v>6249656.9695228655</v>
      </c>
      <c r="BE21" s="548">
        <f t="shared" si="18"/>
        <v>18</v>
      </c>
      <c r="BF21" s="549">
        <f t="shared" si="4"/>
        <v>1527473.2225949916</v>
      </c>
      <c r="BG21" s="549">
        <f t="shared" si="5"/>
        <v>1026588.7285878583</v>
      </c>
      <c r="BH21" s="549">
        <f t="shared" si="6"/>
        <v>1006203.5426718669</v>
      </c>
      <c r="BI21" s="549">
        <f t="shared" si="7"/>
        <v>473895.24106944364</v>
      </c>
      <c r="BJ21" s="550">
        <f t="shared" si="19"/>
        <v>2215496.2345987041</v>
      </c>
      <c r="BK21" s="550">
        <f t="shared" si="20"/>
        <v>6249656.9695228636</v>
      </c>
      <c r="BL21" s="651"/>
      <c r="BN21" s="536">
        <f t="shared" si="21"/>
        <v>18</v>
      </c>
      <c r="BO21">
        <v>-1053.6374738674331</v>
      </c>
      <c r="BR21" s="551">
        <f t="shared" si="8"/>
        <v>18</v>
      </c>
      <c r="BS21" s="552">
        <f t="shared" si="22"/>
        <v>1053637.4738674331</v>
      </c>
      <c r="BV21" s="536">
        <f t="shared" si="23"/>
        <v>18</v>
      </c>
      <c r="BW21" s="537">
        <v>-1471.9652382472841</v>
      </c>
      <c r="BZ21" s="551">
        <f t="shared" si="9"/>
        <v>18</v>
      </c>
      <c r="CA21" s="552">
        <f t="shared" si="24"/>
        <v>1471965.2382472842</v>
      </c>
      <c r="CD21" s="551">
        <f t="shared" si="25"/>
        <v>18</v>
      </c>
      <c r="CE21" s="654">
        <f t="shared" si="26"/>
        <v>6249656.9695228636</v>
      </c>
      <c r="CF21" s="654">
        <v>249986.27878091458</v>
      </c>
      <c r="CG21" s="654">
        <v>249986.27878091458</v>
      </c>
      <c r="CH21" s="654">
        <v>34511.698051476873</v>
      </c>
    </row>
    <row r="22" spans="2:86">
      <c r="B22" s="536">
        <v>19</v>
      </c>
      <c r="C22" s="537">
        <v>-89.595108328060618</v>
      </c>
      <c r="D22" s="537">
        <v>-413.51588459104897</v>
      </c>
      <c r="E22" s="537">
        <v>-689.19314098508175</v>
      </c>
      <c r="G22" s="551">
        <f t="shared" si="2"/>
        <v>19</v>
      </c>
      <c r="H22" s="552">
        <f t="shared" si="10"/>
        <v>89595.108328060625</v>
      </c>
      <c r="I22" s="552">
        <f t="shared" si="11"/>
        <v>413515.88459104899</v>
      </c>
      <c r="J22" s="552">
        <f t="shared" si="12"/>
        <v>689193.14098508179</v>
      </c>
      <c r="K22" s="552">
        <f t="shared" si="13"/>
        <v>1192304.1339041914</v>
      </c>
      <c r="N22" s="536">
        <f t="shared" si="14"/>
        <v>19</v>
      </c>
      <c r="O22" s="539">
        <v>0</v>
      </c>
      <c r="P22" s="539">
        <v>326.2141926428792</v>
      </c>
      <c r="Q22" s="539">
        <v>139.82490318076222</v>
      </c>
      <c r="R22" s="539">
        <v>68.444318043177603</v>
      </c>
      <c r="S22" s="539">
        <v>279.14487459970161</v>
      </c>
      <c r="T22" s="539">
        <v>168.24658306646774</v>
      </c>
      <c r="U22" s="539">
        <v>0</v>
      </c>
      <c r="V22" s="539">
        <v>193.71930185643851</v>
      </c>
      <c r="W22" s="539">
        <v>97.085541462000009</v>
      </c>
      <c r="X22" s="539">
        <v>42.908690309712</v>
      </c>
      <c r="Y22" s="539">
        <v>68.455874459049156</v>
      </c>
      <c r="Z22" s="539">
        <v>162.13295412953281</v>
      </c>
      <c r="AA22" s="539">
        <v>1527.4732225949915</v>
      </c>
      <c r="AB22" s="539">
        <v>85.942700000000002</v>
      </c>
      <c r="AC22" s="539">
        <v>1006.2035426718669</v>
      </c>
      <c r="AD22" s="539">
        <v>473.89524106944361</v>
      </c>
      <c r="AE22" s="539">
        <v>320.20564121074483</v>
      </c>
      <c r="AF22" s="539">
        <v>263.17065963823865</v>
      </c>
      <c r="AG22" s="539">
        <v>1026.5887285878582</v>
      </c>
      <c r="AI22" s="536">
        <f t="shared" si="15"/>
        <v>19</v>
      </c>
      <c r="AJ22" s="543">
        <f t="shared" si="16"/>
        <v>0</v>
      </c>
      <c r="AK22" s="543">
        <f t="shared" si="16"/>
        <v>326214.19264287921</v>
      </c>
      <c r="AL22" s="543">
        <f t="shared" si="27"/>
        <v>139824.90318076222</v>
      </c>
      <c r="AM22" s="543">
        <f t="shared" si="28"/>
        <v>68444.318043177598</v>
      </c>
      <c r="AN22" s="543">
        <f t="shared" si="29"/>
        <v>279144.87459970161</v>
      </c>
      <c r="AO22" s="543">
        <f t="shared" si="30"/>
        <v>168246.58306646775</v>
      </c>
      <c r="AP22" s="543">
        <f t="shared" si="31"/>
        <v>0</v>
      </c>
      <c r="AQ22" s="543">
        <f t="shared" si="32"/>
        <v>193719.30185643851</v>
      </c>
      <c r="AR22" s="543">
        <f t="shared" si="33"/>
        <v>97085.541462000008</v>
      </c>
      <c r="AS22" s="543">
        <f t="shared" si="34"/>
        <v>42908.690309712001</v>
      </c>
      <c r="AT22" s="543">
        <f t="shared" si="35"/>
        <v>68455.874459049155</v>
      </c>
      <c r="AU22" s="543">
        <f t="shared" si="36"/>
        <v>162132.95412953279</v>
      </c>
      <c r="AV22" s="545">
        <f t="shared" si="37"/>
        <v>1527473.2225949916</v>
      </c>
      <c r="AW22" s="543">
        <f t="shared" si="38"/>
        <v>85942.7</v>
      </c>
      <c r="AX22" s="545">
        <f t="shared" si="39"/>
        <v>1006203.5426718669</v>
      </c>
      <c r="AY22" s="545">
        <f t="shared" si="40"/>
        <v>473895.24106944364</v>
      </c>
      <c r="AZ22" s="543">
        <f t="shared" si="41"/>
        <v>320205.64121074486</v>
      </c>
      <c r="BA22" s="543">
        <f t="shared" si="42"/>
        <v>263170.65963823866</v>
      </c>
      <c r="BB22" s="545">
        <f t="shared" si="43"/>
        <v>1026588.7285878583</v>
      </c>
      <c r="BC22" s="543">
        <f t="shared" si="17"/>
        <v>6249656.9695228655</v>
      </c>
      <c r="BE22" s="548">
        <f t="shared" si="18"/>
        <v>19</v>
      </c>
      <c r="BF22" s="549">
        <f t="shared" si="4"/>
        <v>1527473.2225949916</v>
      </c>
      <c r="BG22" s="549">
        <f t="shared" si="5"/>
        <v>1026588.7285878583</v>
      </c>
      <c r="BH22" s="549">
        <f t="shared" si="6"/>
        <v>1006203.5426718669</v>
      </c>
      <c r="BI22" s="549">
        <f t="shared" si="7"/>
        <v>473895.24106944364</v>
      </c>
      <c r="BJ22" s="550">
        <f t="shared" si="19"/>
        <v>2215496.2345987041</v>
      </c>
      <c r="BK22" s="550">
        <f t="shared" si="20"/>
        <v>6249656.9695228636</v>
      </c>
      <c r="BL22" s="651"/>
      <c r="BN22" s="536">
        <f t="shared" si="21"/>
        <v>19</v>
      </c>
      <c r="BO22">
        <v>-1053.6374738674331</v>
      </c>
      <c r="BR22" s="551">
        <f t="shared" si="8"/>
        <v>19</v>
      </c>
      <c r="BS22" s="552">
        <f t="shared" si="22"/>
        <v>1053637.4738674331</v>
      </c>
      <c r="BV22" s="536">
        <f t="shared" si="23"/>
        <v>19</v>
      </c>
      <c r="BW22" s="537">
        <v>-1475.6842747835376</v>
      </c>
      <c r="BZ22" s="551">
        <f t="shared" si="9"/>
        <v>19</v>
      </c>
      <c r="CA22" s="552">
        <f t="shared" si="24"/>
        <v>1475684.2747835375</v>
      </c>
      <c r="CD22" s="551">
        <f t="shared" si="25"/>
        <v>19</v>
      </c>
      <c r="CE22" s="654">
        <f t="shared" si="26"/>
        <v>6249656.9695228636</v>
      </c>
      <c r="CF22" s="654">
        <v>249986.27878091458</v>
      </c>
      <c r="CG22" s="654">
        <v>249986.27878091458</v>
      </c>
      <c r="CH22" s="654">
        <v>34597.495677451101</v>
      </c>
    </row>
    <row r="23" spans="2:86">
      <c r="B23" s="536">
        <v>20</v>
      </c>
      <c r="C23" s="537">
        <v>-89.818048844541281</v>
      </c>
      <c r="D23" s="537">
        <v>-414.54484082095973</v>
      </c>
      <c r="E23" s="537">
        <v>-690.90806803493297</v>
      </c>
      <c r="G23" s="551">
        <f t="shared" si="2"/>
        <v>20</v>
      </c>
      <c r="H23" s="552">
        <f t="shared" si="10"/>
        <v>89818.048844541278</v>
      </c>
      <c r="I23" s="552">
        <f t="shared" si="11"/>
        <v>414544.84082095971</v>
      </c>
      <c r="J23" s="552">
        <f t="shared" si="12"/>
        <v>690908.06803493295</v>
      </c>
      <c r="K23" s="552">
        <f t="shared" si="13"/>
        <v>1195270.9577004339</v>
      </c>
      <c r="N23" s="536">
        <f t="shared" si="14"/>
        <v>20</v>
      </c>
      <c r="O23" s="539">
        <v>0</v>
      </c>
      <c r="P23" s="539">
        <v>326.2141926428792</v>
      </c>
      <c r="Q23" s="539">
        <v>139.82490318076222</v>
      </c>
      <c r="R23" s="539">
        <v>68.444318043177603</v>
      </c>
      <c r="S23" s="539">
        <v>279.14487459970161</v>
      </c>
      <c r="T23" s="539">
        <v>168.24658306646774</v>
      </c>
      <c r="U23" s="539">
        <v>0</v>
      </c>
      <c r="V23" s="539">
        <v>193.71930185643851</v>
      </c>
      <c r="W23" s="539">
        <v>97.085541462000009</v>
      </c>
      <c r="X23" s="539">
        <v>42.908690309712</v>
      </c>
      <c r="Y23" s="539">
        <v>68.455874459049156</v>
      </c>
      <c r="Z23" s="539">
        <v>162.13295412953281</v>
      </c>
      <c r="AA23" s="539">
        <v>1527.4732225949915</v>
      </c>
      <c r="AB23" s="539">
        <v>85.942700000000002</v>
      </c>
      <c r="AC23" s="539">
        <v>1006.2035426718669</v>
      </c>
      <c r="AD23" s="539">
        <v>473.89524106944361</v>
      </c>
      <c r="AE23" s="539">
        <v>320.20564121074483</v>
      </c>
      <c r="AF23" s="539">
        <v>263.17065963823865</v>
      </c>
      <c r="AG23" s="539">
        <v>1026.5887285878582</v>
      </c>
      <c r="AI23" s="536">
        <f t="shared" si="15"/>
        <v>20</v>
      </c>
      <c r="AJ23" s="543">
        <f t="shared" si="16"/>
        <v>0</v>
      </c>
      <c r="AK23" s="543">
        <f t="shared" si="16"/>
        <v>326214.19264287921</v>
      </c>
      <c r="AL23" s="543">
        <f t="shared" si="27"/>
        <v>139824.90318076222</v>
      </c>
      <c r="AM23" s="543">
        <f t="shared" si="28"/>
        <v>68444.318043177598</v>
      </c>
      <c r="AN23" s="543">
        <f t="shared" si="29"/>
        <v>279144.87459970161</v>
      </c>
      <c r="AO23" s="543">
        <f t="shared" si="30"/>
        <v>168246.58306646775</v>
      </c>
      <c r="AP23" s="543">
        <f t="shared" si="31"/>
        <v>0</v>
      </c>
      <c r="AQ23" s="543">
        <f t="shared" si="32"/>
        <v>193719.30185643851</v>
      </c>
      <c r="AR23" s="543">
        <f t="shared" si="33"/>
        <v>97085.541462000008</v>
      </c>
      <c r="AS23" s="543">
        <f t="shared" si="34"/>
        <v>42908.690309712001</v>
      </c>
      <c r="AT23" s="543">
        <f t="shared" si="35"/>
        <v>68455.874459049155</v>
      </c>
      <c r="AU23" s="543">
        <f t="shared" si="36"/>
        <v>162132.95412953279</v>
      </c>
      <c r="AV23" s="545">
        <f t="shared" si="37"/>
        <v>1527473.2225949916</v>
      </c>
      <c r="AW23" s="543">
        <f t="shared" si="38"/>
        <v>85942.7</v>
      </c>
      <c r="AX23" s="545">
        <f t="shared" si="39"/>
        <v>1006203.5426718669</v>
      </c>
      <c r="AY23" s="545">
        <f t="shared" si="40"/>
        <v>473895.24106944364</v>
      </c>
      <c r="AZ23" s="543">
        <f t="shared" si="41"/>
        <v>320205.64121074486</v>
      </c>
      <c r="BA23" s="543">
        <f t="shared" si="42"/>
        <v>263170.65963823866</v>
      </c>
      <c r="BB23" s="545">
        <f t="shared" si="43"/>
        <v>1026588.7285878583</v>
      </c>
      <c r="BC23" s="543">
        <f t="shared" si="17"/>
        <v>6249656.9695228655</v>
      </c>
      <c r="BE23" s="548">
        <f t="shared" si="18"/>
        <v>20</v>
      </c>
      <c r="BF23" s="549">
        <f t="shared" si="4"/>
        <v>1527473.2225949916</v>
      </c>
      <c r="BG23" s="549">
        <f t="shared" si="5"/>
        <v>1026588.7285878583</v>
      </c>
      <c r="BH23" s="549">
        <f t="shared" si="6"/>
        <v>1006203.5426718669</v>
      </c>
      <c r="BI23" s="549">
        <f t="shared" si="7"/>
        <v>473895.24106944364</v>
      </c>
      <c r="BJ23" s="550">
        <f t="shared" si="19"/>
        <v>2215496.2345987041</v>
      </c>
      <c r="BK23" s="550">
        <f t="shared" si="20"/>
        <v>6249656.9695228636</v>
      </c>
      <c r="BL23" s="651"/>
      <c r="BN23" s="536">
        <f t="shared" si="21"/>
        <v>20</v>
      </c>
      <c r="BO23">
        <v>-1053.6374738674331</v>
      </c>
      <c r="BR23" s="551">
        <f t="shared" si="8"/>
        <v>20</v>
      </c>
      <c r="BS23" s="552">
        <f t="shared" si="22"/>
        <v>1053637.4738674331</v>
      </c>
      <c r="BV23" s="536">
        <f t="shared" si="23"/>
        <v>20</v>
      </c>
      <c r="BW23" s="537">
        <v>-1479.4159560440141</v>
      </c>
      <c r="BZ23" s="551">
        <f t="shared" si="9"/>
        <v>20</v>
      </c>
      <c r="CA23" s="552">
        <f t="shared" si="24"/>
        <v>1479415.9560440141</v>
      </c>
      <c r="CD23" s="551">
        <f t="shared" si="25"/>
        <v>20</v>
      </c>
      <c r="CE23" s="654">
        <f t="shared" si="26"/>
        <v>6249656.9695228636</v>
      </c>
      <c r="CF23" s="654">
        <v>249986.27878091458</v>
      </c>
      <c r="CG23" s="654">
        <v>249986.27878091458</v>
      </c>
      <c r="CH23" s="654">
        <v>34683.58501535363</v>
      </c>
    </row>
    <row r="24" spans="2:86">
      <c r="B24" s="536">
        <v>21</v>
      </c>
      <c r="C24" s="537">
        <v>-90.041747358778011</v>
      </c>
      <c r="D24" s="537">
        <v>-415.57729550205232</v>
      </c>
      <c r="E24" s="537">
        <v>-692.628825836754</v>
      </c>
      <c r="G24" s="551">
        <f t="shared" si="2"/>
        <v>21</v>
      </c>
      <c r="H24" s="552">
        <f t="shared" si="10"/>
        <v>90041.747358778011</v>
      </c>
      <c r="I24" s="552">
        <f t="shared" si="11"/>
        <v>415577.29550205235</v>
      </c>
      <c r="J24" s="552">
        <f t="shared" si="12"/>
        <v>692628.82583675405</v>
      </c>
      <c r="K24" s="552">
        <f t="shared" si="13"/>
        <v>1198247.8686975844</v>
      </c>
      <c r="N24" s="536">
        <f t="shared" si="14"/>
        <v>21</v>
      </c>
      <c r="O24" s="539">
        <v>0</v>
      </c>
      <c r="P24" s="539">
        <v>326.2141926428792</v>
      </c>
      <c r="Q24" s="539">
        <v>139.82490318076222</v>
      </c>
      <c r="R24" s="539">
        <v>68.444318043177603</v>
      </c>
      <c r="S24" s="539">
        <v>279.14487459970161</v>
      </c>
      <c r="T24" s="539">
        <v>168.24658306646774</v>
      </c>
      <c r="U24" s="539">
        <v>0</v>
      </c>
      <c r="V24" s="539">
        <v>193.71930185643851</v>
      </c>
      <c r="W24" s="539">
        <v>97.085541462000009</v>
      </c>
      <c r="X24" s="539">
        <v>42.908690309712</v>
      </c>
      <c r="Y24" s="539">
        <v>68.455874459049156</v>
      </c>
      <c r="Z24" s="539">
        <v>162.13295412953281</v>
      </c>
      <c r="AA24" s="539">
        <v>1527.4732225949915</v>
      </c>
      <c r="AB24" s="539">
        <v>85.942700000000002</v>
      </c>
      <c r="AC24" s="539">
        <v>1006.2035426718669</v>
      </c>
      <c r="AD24" s="539">
        <v>473.89524106944361</v>
      </c>
      <c r="AE24" s="539">
        <v>320.20564121074483</v>
      </c>
      <c r="AF24" s="539">
        <v>263.17065963823865</v>
      </c>
      <c r="AG24" s="539">
        <v>1026.5887285878582</v>
      </c>
      <c r="AI24" s="536">
        <f t="shared" si="15"/>
        <v>21</v>
      </c>
      <c r="AJ24" s="543">
        <f t="shared" si="16"/>
        <v>0</v>
      </c>
      <c r="AK24" s="543">
        <f t="shared" si="16"/>
        <v>326214.19264287921</v>
      </c>
      <c r="AL24" s="543">
        <f t="shared" si="27"/>
        <v>139824.90318076222</v>
      </c>
      <c r="AM24" s="543">
        <f t="shared" si="28"/>
        <v>68444.318043177598</v>
      </c>
      <c r="AN24" s="543">
        <f t="shared" si="29"/>
        <v>279144.87459970161</v>
      </c>
      <c r="AO24" s="543">
        <f t="shared" si="30"/>
        <v>168246.58306646775</v>
      </c>
      <c r="AP24" s="543">
        <f t="shared" si="31"/>
        <v>0</v>
      </c>
      <c r="AQ24" s="543">
        <f t="shared" si="32"/>
        <v>193719.30185643851</v>
      </c>
      <c r="AR24" s="543">
        <f t="shared" si="33"/>
        <v>97085.541462000008</v>
      </c>
      <c r="AS24" s="543">
        <f t="shared" si="34"/>
        <v>42908.690309712001</v>
      </c>
      <c r="AT24" s="543">
        <f t="shared" si="35"/>
        <v>68455.874459049155</v>
      </c>
      <c r="AU24" s="543">
        <f t="shared" si="36"/>
        <v>162132.95412953279</v>
      </c>
      <c r="AV24" s="545">
        <f t="shared" si="37"/>
        <v>1527473.2225949916</v>
      </c>
      <c r="AW24" s="543">
        <f t="shared" si="38"/>
        <v>85942.7</v>
      </c>
      <c r="AX24" s="545">
        <f t="shared" si="39"/>
        <v>1006203.5426718669</v>
      </c>
      <c r="AY24" s="545">
        <f t="shared" si="40"/>
        <v>473895.24106944364</v>
      </c>
      <c r="AZ24" s="543">
        <f t="shared" si="41"/>
        <v>320205.64121074486</v>
      </c>
      <c r="BA24" s="543">
        <f t="shared" si="42"/>
        <v>263170.65963823866</v>
      </c>
      <c r="BB24" s="545">
        <f t="shared" si="43"/>
        <v>1026588.7285878583</v>
      </c>
      <c r="BC24" s="543">
        <f t="shared" si="17"/>
        <v>6249656.9695228655</v>
      </c>
      <c r="BE24" s="548">
        <f t="shared" si="18"/>
        <v>21</v>
      </c>
      <c r="BF24" s="549">
        <f t="shared" si="4"/>
        <v>1527473.2225949916</v>
      </c>
      <c r="BG24" s="549">
        <f t="shared" si="5"/>
        <v>1026588.7285878583</v>
      </c>
      <c r="BH24" s="549">
        <f t="shared" si="6"/>
        <v>1006203.5426718669</v>
      </c>
      <c r="BI24" s="549">
        <f t="shared" si="7"/>
        <v>473895.24106944364</v>
      </c>
      <c r="BJ24" s="550">
        <f t="shared" si="19"/>
        <v>2215496.2345987041</v>
      </c>
      <c r="BK24" s="550">
        <f t="shared" si="20"/>
        <v>6249656.9695228636</v>
      </c>
      <c r="BL24" s="651"/>
      <c r="BN24" s="536">
        <f t="shared" si="21"/>
        <v>21</v>
      </c>
      <c r="BO24">
        <v>-1053.6374738674331</v>
      </c>
      <c r="BR24" s="551">
        <f t="shared" si="8"/>
        <v>21</v>
      </c>
      <c r="BS24" s="552">
        <f t="shared" si="22"/>
        <v>1053637.4738674331</v>
      </c>
      <c r="BV24" s="536">
        <f t="shared" si="23"/>
        <v>21</v>
      </c>
      <c r="BW24" s="537">
        <v>-1483.1603250207766</v>
      </c>
      <c r="BZ24" s="551">
        <f t="shared" si="9"/>
        <v>21</v>
      </c>
      <c r="CA24" s="552">
        <f t="shared" si="24"/>
        <v>1483160.3250207766</v>
      </c>
      <c r="CD24" s="551">
        <f t="shared" si="25"/>
        <v>21</v>
      </c>
      <c r="CE24" s="654">
        <f t="shared" si="26"/>
        <v>6249656.9695228636</v>
      </c>
      <c r="CF24" s="654">
        <v>249986.27878091458</v>
      </c>
      <c r="CG24" s="654">
        <v>249986.27878091458</v>
      </c>
      <c r="CH24" s="654">
        <v>34769.967057005044</v>
      </c>
    </row>
    <row r="25" spans="2:86">
      <c r="B25" s="536">
        <v>22</v>
      </c>
      <c r="C25" s="537">
        <v>-90.266206447963143</v>
      </c>
      <c r="D25" s="537">
        <v>-416.6132605290606</v>
      </c>
      <c r="E25" s="537">
        <v>-694.35543421510101</v>
      </c>
      <c r="G25" s="551">
        <f t="shared" si="2"/>
        <v>22</v>
      </c>
      <c r="H25" s="552">
        <f t="shared" si="10"/>
        <v>90266.206447963137</v>
      </c>
      <c r="I25" s="552">
        <f t="shared" si="11"/>
        <v>416613.26052906062</v>
      </c>
      <c r="J25" s="552">
        <f t="shared" si="12"/>
        <v>694355.43421510106</v>
      </c>
      <c r="K25" s="552">
        <f t="shared" si="13"/>
        <v>1201234.9011921249</v>
      </c>
      <c r="N25" s="536">
        <f t="shared" si="14"/>
        <v>22</v>
      </c>
      <c r="O25" s="539">
        <v>0</v>
      </c>
      <c r="P25" s="539">
        <v>326.2141926428792</v>
      </c>
      <c r="Q25" s="539">
        <v>139.82490318076222</v>
      </c>
      <c r="R25" s="539">
        <v>68.444318043177603</v>
      </c>
      <c r="S25" s="539">
        <v>279.14487459970161</v>
      </c>
      <c r="T25" s="539">
        <v>168.24658306646774</v>
      </c>
      <c r="U25" s="539">
        <v>0</v>
      </c>
      <c r="V25" s="539">
        <v>193.71930185643851</v>
      </c>
      <c r="W25" s="539">
        <v>97.085541462000009</v>
      </c>
      <c r="X25" s="539">
        <v>42.908690309712</v>
      </c>
      <c r="Y25" s="539">
        <v>68.455874459049156</v>
      </c>
      <c r="Z25" s="539">
        <v>162.13295412953281</v>
      </c>
      <c r="AA25" s="539">
        <v>1527.4732225949915</v>
      </c>
      <c r="AB25" s="539">
        <v>85.942700000000002</v>
      </c>
      <c r="AC25" s="539">
        <v>1006.2035426718669</v>
      </c>
      <c r="AD25" s="539">
        <v>473.89524106944361</v>
      </c>
      <c r="AE25" s="539">
        <v>320.20564121074483</v>
      </c>
      <c r="AF25" s="539">
        <v>263.17065963823865</v>
      </c>
      <c r="AG25" s="539">
        <v>1026.5887285878582</v>
      </c>
      <c r="AI25" s="536">
        <f t="shared" si="15"/>
        <v>22</v>
      </c>
      <c r="AJ25" s="543">
        <f t="shared" si="16"/>
        <v>0</v>
      </c>
      <c r="AK25" s="543">
        <f t="shared" si="16"/>
        <v>326214.19264287921</v>
      </c>
      <c r="AL25" s="543">
        <f t="shared" si="27"/>
        <v>139824.90318076222</v>
      </c>
      <c r="AM25" s="543">
        <f t="shared" si="28"/>
        <v>68444.318043177598</v>
      </c>
      <c r="AN25" s="543">
        <f t="shared" si="29"/>
        <v>279144.87459970161</v>
      </c>
      <c r="AO25" s="543">
        <f t="shared" si="30"/>
        <v>168246.58306646775</v>
      </c>
      <c r="AP25" s="543">
        <f t="shared" si="31"/>
        <v>0</v>
      </c>
      <c r="AQ25" s="543">
        <f t="shared" si="32"/>
        <v>193719.30185643851</v>
      </c>
      <c r="AR25" s="543">
        <f t="shared" si="33"/>
        <v>97085.541462000008</v>
      </c>
      <c r="AS25" s="543">
        <f t="shared" si="34"/>
        <v>42908.690309712001</v>
      </c>
      <c r="AT25" s="543">
        <f t="shared" si="35"/>
        <v>68455.874459049155</v>
      </c>
      <c r="AU25" s="543">
        <f t="shared" si="36"/>
        <v>162132.95412953279</v>
      </c>
      <c r="AV25" s="545">
        <f t="shared" si="37"/>
        <v>1527473.2225949916</v>
      </c>
      <c r="AW25" s="543">
        <f t="shared" si="38"/>
        <v>85942.7</v>
      </c>
      <c r="AX25" s="545">
        <f t="shared" si="39"/>
        <v>1006203.5426718669</v>
      </c>
      <c r="AY25" s="545">
        <f t="shared" si="40"/>
        <v>473895.24106944364</v>
      </c>
      <c r="AZ25" s="543">
        <f t="shared" si="41"/>
        <v>320205.64121074486</v>
      </c>
      <c r="BA25" s="543">
        <f t="shared" si="42"/>
        <v>263170.65963823866</v>
      </c>
      <c r="BB25" s="545">
        <f t="shared" si="43"/>
        <v>1026588.7285878583</v>
      </c>
      <c r="BC25" s="543">
        <f t="shared" si="17"/>
        <v>6249656.9695228655</v>
      </c>
      <c r="BE25" s="548">
        <f t="shared" si="18"/>
        <v>22</v>
      </c>
      <c r="BF25" s="549">
        <f t="shared" si="4"/>
        <v>1527473.2225949916</v>
      </c>
      <c r="BG25" s="549">
        <f t="shared" si="5"/>
        <v>1026588.7285878583</v>
      </c>
      <c r="BH25" s="549">
        <f t="shared" si="6"/>
        <v>1006203.5426718669</v>
      </c>
      <c r="BI25" s="549">
        <f t="shared" si="7"/>
        <v>473895.24106944364</v>
      </c>
      <c r="BJ25" s="550">
        <f t="shared" si="19"/>
        <v>2215496.2345987041</v>
      </c>
      <c r="BK25" s="550">
        <f t="shared" si="20"/>
        <v>6249656.9695228636</v>
      </c>
      <c r="BL25" s="651"/>
      <c r="BN25" s="536">
        <f t="shared" si="21"/>
        <v>22</v>
      </c>
      <c r="BO25">
        <v>-1053.6374738674331</v>
      </c>
      <c r="BR25" s="551">
        <f t="shared" si="8"/>
        <v>22</v>
      </c>
      <c r="BS25" s="552">
        <f t="shared" si="22"/>
        <v>1053637.4738674331</v>
      </c>
      <c r="BV25" s="536">
        <f t="shared" si="23"/>
        <v>22</v>
      </c>
      <c r="BW25" s="537">
        <v>-1486.9174248520599</v>
      </c>
      <c r="BZ25" s="551">
        <f t="shared" si="9"/>
        <v>22</v>
      </c>
      <c r="CA25" s="552">
        <f t="shared" si="24"/>
        <v>1486917.4248520599</v>
      </c>
      <c r="CD25" s="551">
        <f t="shared" si="25"/>
        <v>22</v>
      </c>
      <c r="CE25" s="654">
        <f t="shared" si="26"/>
        <v>6249656.9695228636</v>
      </c>
      <c r="CF25" s="654">
        <v>249986.27878091458</v>
      </c>
      <c r="CG25" s="654">
        <v>249986.27878091458</v>
      </c>
      <c r="CH25" s="654">
        <v>34856.64279759807</v>
      </c>
    </row>
    <row r="26" spans="2:86">
      <c r="B26" s="536">
        <v>23</v>
      </c>
      <c r="C26" s="537">
        <v>-90.491428698051479</v>
      </c>
      <c r="D26" s="537">
        <v>-417.65274783716063</v>
      </c>
      <c r="E26" s="537">
        <v>-696.0879130619345</v>
      </c>
      <c r="G26" s="551">
        <f t="shared" si="2"/>
        <v>23</v>
      </c>
      <c r="H26" s="552">
        <f t="shared" si="10"/>
        <v>90491.428698051473</v>
      </c>
      <c r="I26" s="552">
        <f t="shared" si="11"/>
        <v>417652.74783716066</v>
      </c>
      <c r="J26" s="552">
        <f t="shared" si="12"/>
        <v>696087.91306193452</v>
      </c>
      <c r="K26" s="552">
        <f t="shared" si="13"/>
        <v>1204232.0895971467</v>
      </c>
      <c r="N26" s="536">
        <f t="shared" si="14"/>
        <v>23</v>
      </c>
      <c r="O26" s="539">
        <v>0</v>
      </c>
      <c r="P26" s="539">
        <v>326.2141926428792</v>
      </c>
      <c r="Q26" s="539">
        <v>139.82490318076222</v>
      </c>
      <c r="R26" s="539">
        <v>68.444318043177603</v>
      </c>
      <c r="S26" s="539">
        <v>279.14487459970161</v>
      </c>
      <c r="T26" s="539">
        <v>168.24658306646774</v>
      </c>
      <c r="U26" s="539">
        <v>0</v>
      </c>
      <c r="V26" s="539">
        <v>193.71930185643851</v>
      </c>
      <c r="W26" s="539">
        <v>97.085541462000009</v>
      </c>
      <c r="X26" s="539">
        <v>42.908690309712</v>
      </c>
      <c r="Y26" s="539">
        <v>68.455874459049156</v>
      </c>
      <c r="Z26" s="539">
        <v>162.13295412953281</v>
      </c>
      <c r="AA26" s="539">
        <v>1527.4732225949915</v>
      </c>
      <c r="AB26" s="539">
        <v>85.942700000000002</v>
      </c>
      <c r="AC26" s="539">
        <v>1006.2035426718669</v>
      </c>
      <c r="AD26" s="539">
        <v>473.89524106944361</v>
      </c>
      <c r="AE26" s="539">
        <v>320.20564121074483</v>
      </c>
      <c r="AF26" s="539">
        <v>263.17065963823865</v>
      </c>
      <c r="AG26" s="539">
        <v>1026.5887285878582</v>
      </c>
      <c r="AI26" s="536">
        <f t="shared" si="15"/>
        <v>23</v>
      </c>
      <c r="AJ26" s="543">
        <f t="shared" si="16"/>
        <v>0</v>
      </c>
      <c r="AK26" s="543">
        <f t="shared" si="16"/>
        <v>326214.19264287921</v>
      </c>
      <c r="AL26" s="543">
        <f t="shared" si="27"/>
        <v>139824.90318076222</v>
      </c>
      <c r="AM26" s="543">
        <f t="shared" si="28"/>
        <v>68444.318043177598</v>
      </c>
      <c r="AN26" s="543">
        <f t="shared" si="29"/>
        <v>279144.87459970161</v>
      </c>
      <c r="AO26" s="543">
        <f t="shared" si="30"/>
        <v>168246.58306646775</v>
      </c>
      <c r="AP26" s="543">
        <f t="shared" si="31"/>
        <v>0</v>
      </c>
      <c r="AQ26" s="543">
        <f t="shared" si="32"/>
        <v>193719.30185643851</v>
      </c>
      <c r="AR26" s="543">
        <f t="shared" si="33"/>
        <v>97085.541462000008</v>
      </c>
      <c r="AS26" s="543">
        <f t="shared" si="34"/>
        <v>42908.690309712001</v>
      </c>
      <c r="AT26" s="543">
        <f t="shared" si="35"/>
        <v>68455.874459049155</v>
      </c>
      <c r="AU26" s="543">
        <f t="shared" si="36"/>
        <v>162132.95412953279</v>
      </c>
      <c r="AV26" s="545">
        <f t="shared" si="37"/>
        <v>1527473.2225949916</v>
      </c>
      <c r="AW26" s="543">
        <f t="shared" si="38"/>
        <v>85942.7</v>
      </c>
      <c r="AX26" s="545">
        <f t="shared" si="39"/>
        <v>1006203.5426718669</v>
      </c>
      <c r="AY26" s="545">
        <f t="shared" si="40"/>
        <v>473895.24106944364</v>
      </c>
      <c r="AZ26" s="543">
        <f t="shared" si="41"/>
        <v>320205.64121074486</v>
      </c>
      <c r="BA26" s="543">
        <f t="shared" si="42"/>
        <v>263170.65963823866</v>
      </c>
      <c r="BB26" s="545">
        <f t="shared" si="43"/>
        <v>1026588.7285878583</v>
      </c>
      <c r="BC26" s="543">
        <f t="shared" si="17"/>
        <v>6249656.9695228655</v>
      </c>
      <c r="BE26" s="548">
        <f t="shared" si="18"/>
        <v>23</v>
      </c>
      <c r="BF26" s="549">
        <f t="shared" si="4"/>
        <v>1527473.2225949916</v>
      </c>
      <c r="BG26" s="549">
        <f t="shared" si="5"/>
        <v>1026588.7285878583</v>
      </c>
      <c r="BH26" s="549">
        <f t="shared" si="6"/>
        <v>1006203.5426718669</v>
      </c>
      <c r="BI26" s="549">
        <f t="shared" si="7"/>
        <v>473895.24106944364</v>
      </c>
      <c r="BJ26" s="550">
        <f t="shared" si="19"/>
        <v>2215496.2345987041</v>
      </c>
      <c r="BK26" s="550">
        <f t="shared" si="20"/>
        <v>6249656.9695228636</v>
      </c>
      <c r="BL26" s="651"/>
      <c r="BN26" s="536">
        <f t="shared" si="21"/>
        <v>23</v>
      </c>
      <c r="BO26">
        <v>-1053.6374738674331</v>
      </c>
      <c r="BR26" s="551">
        <f t="shared" si="8"/>
        <v>23</v>
      </c>
      <c r="BS26" s="552">
        <f t="shared" si="22"/>
        <v>1053637.4738674331</v>
      </c>
      <c r="BV26" s="536">
        <f t="shared" si="23"/>
        <v>23</v>
      </c>
      <c r="BW26" s="537">
        <v>-1490.6872988227692</v>
      </c>
      <c r="BZ26" s="551">
        <f t="shared" si="9"/>
        <v>23</v>
      </c>
      <c r="CA26" s="552">
        <f t="shared" si="24"/>
        <v>1490687.2988227692</v>
      </c>
      <c r="CD26" s="551">
        <f t="shared" si="25"/>
        <v>23</v>
      </c>
      <c r="CE26" s="654">
        <f t="shared" si="26"/>
        <v>6249656.9695228636</v>
      </c>
      <c r="CF26" s="654">
        <v>249986.27878091458</v>
      </c>
      <c r="CG26" s="654">
        <v>249986.27878091458</v>
      </c>
      <c r="CH26" s="654">
        <v>34943.613235709112</v>
      </c>
    </row>
    <row r="27" spans="2:86">
      <c r="B27" s="536">
        <v>24</v>
      </c>
      <c r="C27" s="537">
        <v>-90.717416703790136</v>
      </c>
      <c r="D27" s="537">
        <v>-418.69576940210828</v>
      </c>
      <c r="E27" s="537">
        <v>-697.82628233684727</v>
      </c>
      <c r="G27" s="551">
        <f t="shared" si="2"/>
        <v>24</v>
      </c>
      <c r="H27" s="552">
        <f t="shared" si="10"/>
        <v>90717.416703790135</v>
      </c>
      <c r="I27" s="552">
        <f t="shared" si="11"/>
        <v>418695.76940210827</v>
      </c>
      <c r="J27" s="552">
        <f t="shared" si="12"/>
        <v>697826.28233684727</v>
      </c>
      <c r="K27" s="552">
        <f t="shared" si="13"/>
        <v>1207239.4684427457</v>
      </c>
      <c r="N27" s="536">
        <f t="shared" si="14"/>
        <v>24</v>
      </c>
      <c r="O27" s="539">
        <v>0</v>
      </c>
      <c r="P27" s="539">
        <v>326.2141926428792</v>
      </c>
      <c r="Q27" s="539">
        <v>139.82490318076222</v>
      </c>
      <c r="R27" s="539">
        <v>68.444318043177603</v>
      </c>
      <c r="S27" s="539">
        <v>279.14487459970161</v>
      </c>
      <c r="T27" s="539">
        <v>168.24658306646774</v>
      </c>
      <c r="U27" s="539">
        <v>0</v>
      </c>
      <c r="V27" s="539">
        <v>193.71930185643851</v>
      </c>
      <c r="W27" s="539">
        <v>97.085541462000009</v>
      </c>
      <c r="X27" s="539">
        <v>42.908690309712</v>
      </c>
      <c r="Y27" s="539">
        <v>68.455874459049156</v>
      </c>
      <c r="Z27" s="539">
        <v>162.13295412953281</v>
      </c>
      <c r="AA27" s="539">
        <v>1527.4732225949915</v>
      </c>
      <c r="AB27" s="539">
        <v>85.942700000000002</v>
      </c>
      <c r="AC27" s="539">
        <v>1006.2035426718669</v>
      </c>
      <c r="AD27" s="539">
        <v>473.89524106944361</v>
      </c>
      <c r="AE27" s="539">
        <v>320.20564121074483</v>
      </c>
      <c r="AF27" s="539">
        <v>263.17065963823865</v>
      </c>
      <c r="AG27" s="539">
        <v>1026.5887285878582</v>
      </c>
      <c r="AI27" s="536">
        <f t="shared" si="15"/>
        <v>24</v>
      </c>
      <c r="AJ27" s="543">
        <f t="shared" si="16"/>
        <v>0</v>
      </c>
      <c r="AK27" s="543">
        <f t="shared" si="16"/>
        <v>326214.19264287921</v>
      </c>
      <c r="AL27" s="543">
        <f t="shared" si="27"/>
        <v>139824.90318076222</v>
      </c>
      <c r="AM27" s="543">
        <f t="shared" si="28"/>
        <v>68444.318043177598</v>
      </c>
      <c r="AN27" s="543">
        <f t="shared" si="29"/>
        <v>279144.87459970161</v>
      </c>
      <c r="AO27" s="543">
        <f t="shared" si="30"/>
        <v>168246.58306646775</v>
      </c>
      <c r="AP27" s="543">
        <f t="shared" si="31"/>
        <v>0</v>
      </c>
      <c r="AQ27" s="543">
        <f t="shared" si="32"/>
        <v>193719.30185643851</v>
      </c>
      <c r="AR27" s="543">
        <f t="shared" si="33"/>
        <v>97085.541462000008</v>
      </c>
      <c r="AS27" s="543">
        <f t="shared" si="34"/>
        <v>42908.690309712001</v>
      </c>
      <c r="AT27" s="543">
        <f t="shared" si="35"/>
        <v>68455.874459049155</v>
      </c>
      <c r="AU27" s="543">
        <f t="shared" si="36"/>
        <v>162132.95412953279</v>
      </c>
      <c r="AV27" s="545">
        <f t="shared" si="37"/>
        <v>1527473.2225949916</v>
      </c>
      <c r="AW27" s="543">
        <f t="shared" si="38"/>
        <v>85942.7</v>
      </c>
      <c r="AX27" s="545">
        <f t="shared" si="39"/>
        <v>1006203.5426718669</v>
      </c>
      <c r="AY27" s="545">
        <f t="shared" si="40"/>
        <v>473895.24106944364</v>
      </c>
      <c r="AZ27" s="543">
        <f t="shared" si="41"/>
        <v>320205.64121074486</v>
      </c>
      <c r="BA27" s="543">
        <f t="shared" si="42"/>
        <v>263170.65963823866</v>
      </c>
      <c r="BB27" s="545">
        <f t="shared" si="43"/>
        <v>1026588.7285878583</v>
      </c>
      <c r="BC27" s="543">
        <f t="shared" si="17"/>
        <v>6249656.9695228655</v>
      </c>
      <c r="BE27" s="548">
        <f t="shared" si="18"/>
        <v>24</v>
      </c>
      <c r="BF27" s="549">
        <f t="shared" si="4"/>
        <v>1527473.2225949916</v>
      </c>
      <c r="BG27" s="549">
        <f t="shared" si="5"/>
        <v>1026588.7285878583</v>
      </c>
      <c r="BH27" s="549">
        <f t="shared" si="6"/>
        <v>1006203.5426718669</v>
      </c>
      <c r="BI27" s="549">
        <f t="shared" si="7"/>
        <v>473895.24106944364</v>
      </c>
      <c r="BJ27" s="550">
        <f t="shared" si="19"/>
        <v>2215496.2345987041</v>
      </c>
      <c r="BK27" s="550">
        <f t="shared" si="20"/>
        <v>6249656.9695228636</v>
      </c>
      <c r="BL27" s="651"/>
      <c r="BN27" s="536">
        <f t="shared" si="21"/>
        <v>24</v>
      </c>
      <c r="BO27">
        <v>-1053.6374738674331</v>
      </c>
      <c r="BR27" s="551">
        <f t="shared" si="8"/>
        <v>24</v>
      </c>
      <c r="BS27" s="552">
        <f t="shared" si="22"/>
        <v>1053637.4738674331</v>
      </c>
      <c r="BV27" s="536">
        <f t="shared" si="23"/>
        <v>24</v>
      </c>
      <c r="BW27" s="537">
        <v>-1494.4699903649794</v>
      </c>
      <c r="BZ27" s="551">
        <f t="shared" si="9"/>
        <v>24</v>
      </c>
      <c r="CA27" s="552">
        <f t="shared" si="24"/>
        <v>1494469.9903649793</v>
      </c>
      <c r="CD27" s="551">
        <f t="shared" si="25"/>
        <v>24</v>
      </c>
      <c r="CE27" s="654">
        <f t="shared" si="26"/>
        <v>6249656.9695228636</v>
      </c>
      <c r="CF27" s="654">
        <v>249986.27878091458</v>
      </c>
      <c r="CG27" s="654">
        <v>249986.27878091458</v>
      </c>
      <c r="CH27" s="654">
        <v>35030.879373309734</v>
      </c>
    </row>
    <row r="28" spans="2:86">
      <c r="B28" s="536">
        <v>25</v>
      </c>
      <c r="C28" s="537">
        <v>-90.944173068748285</v>
      </c>
      <c r="D28" s="537">
        <v>-419.74233724037668</v>
      </c>
      <c r="E28" s="537">
        <v>-699.57056206729453</v>
      </c>
      <c r="G28" s="551">
        <f t="shared" si="2"/>
        <v>25</v>
      </c>
      <c r="H28" s="552">
        <f t="shared" si="10"/>
        <v>90944.173068748278</v>
      </c>
      <c r="I28" s="552">
        <f t="shared" si="11"/>
        <v>419742.33724037668</v>
      </c>
      <c r="J28" s="552">
        <f t="shared" si="12"/>
        <v>699570.56206729449</v>
      </c>
      <c r="K28" s="552">
        <f t="shared" si="13"/>
        <v>1210257.0723764193</v>
      </c>
      <c r="N28" s="536">
        <f t="shared" si="14"/>
        <v>25</v>
      </c>
      <c r="O28" s="539">
        <v>0</v>
      </c>
      <c r="P28" s="539">
        <v>326.2141926428792</v>
      </c>
      <c r="Q28" s="539">
        <v>139.82490318076222</v>
      </c>
      <c r="R28" s="539">
        <v>68.444318043177603</v>
      </c>
      <c r="S28" s="539">
        <v>279.14487459970161</v>
      </c>
      <c r="T28" s="539">
        <v>168.24658306646774</v>
      </c>
      <c r="U28" s="539">
        <v>0</v>
      </c>
      <c r="V28" s="539">
        <v>193.71930185643851</v>
      </c>
      <c r="W28" s="539">
        <v>97.085541462000009</v>
      </c>
      <c r="X28" s="539">
        <v>42.908690309712</v>
      </c>
      <c r="Y28" s="539">
        <v>68.455874459049156</v>
      </c>
      <c r="Z28" s="539">
        <v>162.13295412953281</v>
      </c>
      <c r="AA28" s="539">
        <v>1527.4732225949915</v>
      </c>
      <c r="AB28" s="539">
        <v>85.942700000000002</v>
      </c>
      <c r="AC28" s="539">
        <v>1006.2035426718669</v>
      </c>
      <c r="AD28" s="539">
        <v>473.89524106944361</v>
      </c>
      <c r="AE28" s="539">
        <v>320.20564121074483</v>
      </c>
      <c r="AF28" s="539">
        <v>263.17065963823865</v>
      </c>
      <c r="AG28" s="539">
        <v>1026.5887285878582</v>
      </c>
      <c r="AI28" s="536">
        <f t="shared" si="15"/>
        <v>25</v>
      </c>
      <c r="AJ28" s="543">
        <f t="shared" si="16"/>
        <v>0</v>
      </c>
      <c r="AK28" s="543">
        <f t="shared" si="16"/>
        <v>326214.19264287921</v>
      </c>
      <c r="AL28" s="543">
        <f t="shared" si="27"/>
        <v>139824.90318076222</v>
      </c>
      <c r="AM28" s="543">
        <f t="shared" si="28"/>
        <v>68444.318043177598</v>
      </c>
      <c r="AN28" s="543">
        <f t="shared" si="29"/>
        <v>279144.87459970161</v>
      </c>
      <c r="AO28" s="543">
        <f t="shared" si="30"/>
        <v>168246.58306646775</v>
      </c>
      <c r="AP28" s="543">
        <f t="shared" si="31"/>
        <v>0</v>
      </c>
      <c r="AQ28" s="543">
        <f t="shared" si="32"/>
        <v>193719.30185643851</v>
      </c>
      <c r="AR28" s="543">
        <f t="shared" si="33"/>
        <v>97085.541462000008</v>
      </c>
      <c r="AS28" s="543">
        <f t="shared" si="34"/>
        <v>42908.690309712001</v>
      </c>
      <c r="AT28" s="543">
        <f t="shared" si="35"/>
        <v>68455.874459049155</v>
      </c>
      <c r="AU28" s="543">
        <f t="shared" si="36"/>
        <v>162132.95412953279</v>
      </c>
      <c r="AV28" s="545">
        <f t="shared" si="37"/>
        <v>1527473.2225949916</v>
      </c>
      <c r="AW28" s="543">
        <f t="shared" si="38"/>
        <v>85942.7</v>
      </c>
      <c r="AX28" s="545">
        <f t="shared" si="39"/>
        <v>1006203.5426718669</v>
      </c>
      <c r="AY28" s="545">
        <f t="shared" si="40"/>
        <v>473895.24106944364</v>
      </c>
      <c r="AZ28" s="543">
        <f t="shared" si="41"/>
        <v>320205.64121074486</v>
      </c>
      <c r="BA28" s="543">
        <f t="shared" si="42"/>
        <v>263170.65963823866</v>
      </c>
      <c r="BB28" s="545">
        <f t="shared" si="43"/>
        <v>1026588.7285878583</v>
      </c>
      <c r="BC28" s="543">
        <f t="shared" si="17"/>
        <v>6249656.9695228655</v>
      </c>
      <c r="BE28" s="548">
        <f t="shared" si="18"/>
        <v>25</v>
      </c>
      <c r="BF28" s="549">
        <f t="shared" si="4"/>
        <v>1527473.2225949916</v>
      </c>
      <c r="BG28" s="549">
        <f t="shared" si="5"/>
        <v>1026588.7285878583</v>
      </c>
      <c r="BH28" s="549">
        <f t="shared" si="6"/>
        <v>1006203.5426718669</v>
      </c>
      <c r="BI28" s="549">
        <f t="shared" si="7"/>
        <v>473895.24106944364</v>
      </c>
      <c r="BJ28" s="550">
        <f t="shared" si="19"/>
        <v>2215496.2345987041</v>
      </c>
      <c r="BK28" s="550">
        <f t="shared" si="20"/>
        <v>6249656.9695228636</v>
      </c>
      <c r="BL28" s="651"/>
      <c r="BN28" s="536">
        <f t="shared" si="21"/>
        <v>25</v>
      </c>
      <c r="BO28">
        <v>-1053.6374738674331</v>
      </c>
      <c r="BR28" s="551">
        <f t="shared" si="8"/>
        <v>25</v>
      </c>
      <c r="BS28" s="552">
        <f t="shared" si="22"/>
        <v>1053637.4738674331</v>
      </c>
      <c r="BV28" s="536">
        <f t="shared" si="23"/>
        <v>25</v>
      </c>
      <c r="BW28" s="537">
        <v>-1498.2655430584327</v>
      </c>
      <c r="BZ28" s="551">
        <f t="shared" si="9"/>
        <v>25</v>
      </c>
      <c r="CA28" s="552">
        <f t="shared" si="24"/>
        <v>1498265.5430584326</v>
      </c>
      <c r="CD28" s="551">
        <f t="shared" si="25"/>
        <v>25</v>
      </c>
      <c r="CE28" s="654">
        <f t="shared" si="26"/>
        <v>6249656.9695228636</v>
      </c>
      <c r="CF28" s="654">
        <v>249986.27878091458</v>
      </c>
      <c r="CG28" s="654">
        <v>249986.27878091458</v>
      </c>
      <c r="CH28" s="654">
        <v>35118.442215778181</v>
      </c>
    </row>
    <row r="29" spans="2:86">
      <c r="B29" s="536">
        <v>26</v>
      </c>
      <c r="C29" s="537">
        <v>-91.171700405347323</v>
      </c>
      <c r="D29" s="537">
        <v>-420.79246340929529</v>
      </c>
      <c r="E29" s="537">
        <v>-701.32077234882559</v>
      </c>
      <c r="G29" s="551">
        <f t="shared" si="2"/>
        <v>26</v>
      </c>
      <c r="H29" s="552">
        <f t="shared" si="10"/>
        <v>91171.700405347321</v>
      </c>
      <c r="I29" s="552">
        <f t="shared" si="11"/>
        <v>420792.46340929531</v>
      </c>
      <c r="J29" s="552">
        <f t="shared" si="12"/>
        <v>701320.77234882559</v>
      </c>
      <c r="K29" s="552">
        <f t="shared" si="13"/>
        <v>1213284.9361634683</v>
      </c>
      <c r="N29" s="536">
        <f t="shared" si="14"/>
        <v>26</v>
      </c>
      <c r="O29" s="539">
        <v>0</v>
      </c>
      <c r="P29" s="539">
        <v>326.2141926428792</v>
      </c>
      <c r="Q29" s="539">
        <v>139.82490318076222</v>
      </c>
      <c r="R29" s="539">
        <v>68.444318043177603</v>
      </c>
      <c r="S29" s="539">
        <v>279.14487459970161</v>
      </c>
      <c r="T29" s="539">
        <v>168.24658306646774</v>
      </c>
      <c r="U29" s="539">
        <v>0</v>
      </c>
      <c r="V29" s="539">
        <v>193.71930185643851</v>
      </c>
      <c r="W29" s="539">
        <v>97.085541462000009</v>
      </c>
      <c r="X29" s="539">
        <v>42.908690309712</v>
      </c>
      <c r="Y29" s="539">
        <v>68.455874459049156</v>
      </c>
      <c r="Z29" s="539">
        <v>162.13295412953281</v>
      </c>
      <c r="AA29" s="539">
        <v>1527.4732225949915</v>
      </c>
      <c r="AB29" s="539">
        <v>85.942700000000002</v>
      </c>
      <c r="AC29" s="539">
        <v>1006.2035426718669</v>
      </c>
      <c r="AD29" s="539">
        <v>473.89524106944361</v>
      </c>
      <c r="AE29" s="539">
        <v>320.20564121074483</v>
      </c>
      <c r="AF29" s="539">
        <v>263.17065963823865</v>
      </c>
      <c r="AG29" s="539">
        <v>1026.5887285878582</v>
      </c>
      <c r="AI29" s="536">
        <f t="shared" si="15"/>
        <v>26</v>
      </c>
      <c r="AJ29" s="543">
        <f t="shared" si="16"/>
        <v>0</v>
      </c>
      <c r="AK29" s="543">
        <f t="shared" si="16"/>
        <v>326214.19264287921</v>
      </c>
      <c r="AL29" s="543">
        <f t="shared" si="27"/>
        <v>139824.90318076222</v>
      </c>
      <c r="AM29" s="543">
        <f t="shared" si="28"/>
        <v>68444.318043177598</v>
      </c>
      <c r="AN29" s="543">
        <f t="shared" si="29"/>
        <v>279144.87459970161</v>
      </c>
      <c r="AO29" s="543">
        <f t="shared" si="30"/>
        <v>168246.58306646775</v>
      </c>
      <c r="AP29" s="543">
        <f t="shared" si="31"/>
        <v>0</v>
      </c>
      <c r="AQ29" s="543">
        <f t="shared" si="32"/>
        <v>193719.30185643851</v>
      </c>
      <c r="AR29" s="543">
        <f t="shared" si="33"/>
        <v>97085.541462000008</v>
      </c>
      <c r="AS29" s="543">
        <f t="shared" si="34"/>
        <v>42908.690309712001</v>
      </c>
      <c r="AT29" s="543">
        <f t="shared" si="35"/>
        <v>68455.874459049155</v>
      </c>
      <c r="AU29" s="543">
        <f t="shared" si="36"/>
        <v>162132.95412953279</v>
      </c>
      <c r="AV29" s="545">
        <f t="shared" si="37"/>
        <v>1527473.2225949916</v>
      </c>
      <c r="AW29" s="543">
        <f t="shared" si="38"/>
        <v>85942.7</v>
      </c>
      <c r="AX29" s="545">
        <f t="shared" si="39"/>
        <v>1006203.5426718669</v>
      </c>
      <c r="AY29" s="545">
        <f t="shared" si="40"/>
        <v>473895.24106944364</v>
      </c>
      <c r="AZ29" s="543">
        <f t="shared" si="41"/>
        <v>320205.64121074486</v>
      </c>
      <c r="BA29" s="543">
        <f t="shared" si="42"/>
        <v>263170.65963823866</v>
      </c>
      <c r="BB29" s="545">
        <f t="shared" si="43"/>
        <v>1026588.7285878583</v>
      </c>
      <c r="BC29" s="543">
        <f t="shared" si="17"/>
        <v>6249656.9695228655</v>
      </c>
      <c r="BE29" s="548">
        <f t="shared" si="18"/>
        <v>26</v>
      </c>
      <c r="BF29" s="549">
        <f t="shared" si="4"/>
        <v>1527473.2225949916</v>
      </c>
      <c r="BG29" s="549">
        <f t="shared" si="5"/>
        <v>1026588.7285878583</v>
      </c>
      <c r="BH29" s="549">
        <f t="shared" si="6"/>
        <v>1006203.5426718669</v>
      </c>
      <c r="BI29" s="549">
        <f t="shared" si="7"/>
        <v>473895.24106944364</v>
      </c>
      <c r="BJ29" s="550">
        <f t="shared" si="19"/>
        <v>2215496.2345987041</v>
      </c>
      <c r="BK29" s="550">
        <f t="shared" si="20"/>
        <v>6249656.9695228636</v>
      </c>
      <c r="BL29" s="651"/>
      <c r="BN29" s="536">
        <f t="shared" si="21"/>
        <v>26</v>
      </c>
      <c r="BO29">
        <v>-1053.6374738674331</v>
      </c>
      <c r="BR29" s="551">
        <f t="shared" si="8"/>
        <v>26</v>
      </c>
      <c r="BS29" s="552">
        <f t="shared" si="22"/>
        <v>1053637.4738674331</v>
      </c>
      <c r="BV29" s="536">
        <f t="shared" si="23"/>
        <v>26</v>
      </c>
      <c r="BW29" s="537">
        <v>-1502.0740006310443</v>
      </c>
      <c r="BZ29" s="551">
        <f t="shared" si="9"/>
        <v>26</v>
      </c>
      <c r="CA29" s="552">
        <f t="shared" si="24"/>
        <v>1502074.0006310444</v>
      </c>
      <c r="CD29" s="551">
        <f t="shared" si="25"/>
        <v>26</v>
      </c>
      <c r="CE29" s="654">
        <f t="shared" si="26"/>
        <v>6249656.9695228636</v>
      </c>
      <c r="CF29" s="654">
        <v>249986.27878091458</v>
      </c>
      <c r="CG29" s="654">
        <v>249986.27878091458</v>
      </c>
      <c r="CH29" s="654">
        <v>35206.30277191104</v>
      </c>
    </row>
    <row r="30" spans="2:86">
      <c r="B30" s="536">
        <v>27</v>
      </c>
      <c r="C30" s="537">
        <v>-91.400001334890774</v>
      </c>
      <c r="D30" s="537">
        <v>-421.84616000718813</v>
      </c>
      <c r="E30" s="537">
        <v>-703.07693334531359</v>
      </c>
      <c r="G30" s="551">
        <f t="shared" si="2"/>
        <v>27</v>
      </c>
      <c r="H30" s="552">
        <f t="shared" si="10"/>
        <v>91400.001334890781</v>
      </c>
      <c r="I30" s="552">
        <f t="shared" si="11"/>
        <v>421846.16000718815</v>
      </c>
      <c r="J30" s="552">
        <f t="shared" si="12"/>
        <v>703076.93334531365</v>
      </c>
      <c r="K30" s="552">
        <f t="shared" si="13"/>
        <v>1216323.0946873925</v>
      </c>
      <c r="N30" s="536">
        <f t="shared" si="14"/>
        <v>27</v>
      </c>
      <c r="O30" s="539">
        <v>0</v>
      </c>
      <c r="P30" s="539">
        <v>326.2141926428792</v>
      </c>
      <c r="Q30" s="539">
        <v>139.82490318076222</v>
      </c>
      <c r="R30" s="539">
        <v>68.444318043177603</v>
      </c>
      <c r="S30" s="539">
        <v>279.14487459970161</v>
      </c>
      <c r="T30" s="539">
        <v>168.24658306646774</v>
      </c>
      <c r="U30" s="539">
        <v>0</v>
      </c>
      <c r="V30" s="539">
        <v>193.71930185643851</v>
      </c>
      <c r="W30" s="539">
        <v>97.085541462000009</v>
      </c>
      <c r="X30" s="539">
        <v>42.908690309712</v>
      </c>
      <c r="Y30" s="539">
        <v>68.455874459049156</v>
      </c>
      <c r="Z30" s="539">
        <v>162.13295412953281</v>
      </c>
      <c r="AA30" s="539">
        <v>1527.4732225949915</v>
      </c>
      <c r="AB30" s="539">
        <v>85.942700000000002</v>
      </c>
      <c r="AC30" s="539">
        <v>1006.2035426718669</v>
      </c>
      <c r="AD30" s="539">
        <v>473.89524106944361</v>
      </c>
      <c r="AE30" s="539">
        <v>320.20564121074483</v>
      </c>
      <c r="AF30" s="539">
        <v>263.17065963823865</v>
      </c>
      <c r="AG30" s="539">
        <v>1026.5887285878582</v>
      </c>
      <c r="AI30" s="536">
        <f t="shared" si="15"/>
        <v>27</v>
      </c>
      <c r="AJ30" s="543">
        <f t="shared" si="16"/>
        <v>0</v>
      </c>
      <c r="AK30" s="543">
        <f t="shared" si="16"/>
        <v>326214.19264287921</v>
      </c>
      <c r="AL30" s="543">
        <f t="shared" si="27"/>
        <v>139824.90318076222</v>
      </c>
      <c r="AM30" s="543">
        <f t="shared" si="28"/>
        <v>68444.318043177598</v>
      </c>
      <c r="AN30" s="543">
        <f t="shared" si="29"/>
        <v>279144.87459970161</v>
      </c>
      <c r="AO30" s="543">
        <f t="shared" si="30"/>
        <v>168246.58306646775</v>
      </c>
      <c r="AP30" s="543">
        <f t="shared" si="31"/>
        <v>0</v>
      </c>
      <c r="AQ30" s="543">
        <f t="shared" si="32"/>
        <v>193719.30185643851</v>
      </c>
      <c r="AR30" s="543">
        <f t="shared" si="33"/>
        <v>97085.541462000008</v>
      </c>
      <c r="AS30" s="543">
        <f t="shared" si="34"/>
        <v>42908.690309712001</v>
      </c>
      <c r="AT30" s="543">
        <f t="shared" si="35"/>
        <v>68455.874459049155</v>
      </c>
      <c r="AU30" s="543">
        <f t="shared" si="36"/>
        <v>162132.95412953279</v>
      </c>
      <c r="AV30" s="545">
        <f t="shared" si="37"/>
        <v>1527473.2225949916</v>
      </c>
      <c r="AW30" s="543">
        <f t="shared" si="38"/>
        <v>85942.7</v>
      </c>
      <c r="AX30" s="545">
        <f t="shared" si="39"/>
        <v>1006203.5426718669</v>
      </c>
      <c r="AY30" s="545">
        <f t="shared" si="40"/>
        <v>473895.24106944364</v>
      </c>
      <c r="AZ30" s="543">
        <f t="shared" si="41"/>
        <v>320205.64121074486</v>
      </c>
      <c r="BA30" s="543">
        <f t="shared" si="42"/>
        <v>263170.65963823866</v>
      </c>
      <c r="BB30" s="545">
        <f t="shared" si="43"/>
        <v>1026588.7285878583</v>
      </c>
      <c r="BC30" s="543">
        <f t="shared" si="17"/>
        <v>6249656.9695228655</v>
      </c>
      <c r="BE30" s="548">
        <f t="shared" si="18"/>
        <v>27</v>
      </c>
      <c r="BF30" s="549">
        <f t="shared" si="4"/>
        <v>1527473.2225949916</v>
      </c>
      <c r="BG30" s="549">
        <f t="shared" si="5"/>
        <v>1026588.7285878583</v>
      </c>
      <c r="BH30" s="549">
        <f t="shared" si="6"/>
        <v>1006203.5426718669</v>
      </c>
      <c r="BI30" s="549">
        <f t="shared" si="7"/>
        <v>473895.24106944364</v>
      </c>
      <c r="BJ30" s="550">
        <f t="shared" si="19"/>
        <v>2215496.2345987041</v>
      </c>
      <c r="BK30" s="550">
        <f t="shared" si="20"/>
        <v>6249656.9695228636</v>
      </c>
      <c r="BL30" s="651"/>
      <c r="BN30" s="536">
        <f t="shared" si="21"/>
        <v>27</v>
      </c>
      <c r="BO30">
        <v>-1053.6374738674331</v>
      </c>
      <c r="BR30" s="551">
        <f t="shared" si="8"/>
        <v>27</v>
      </c>
      <c r="BS30" s="552">
        <f t="shared" si="22"/>
        <v>1053637.4738674331</v>
      </c>
      <c r="BV30" s="536">
        <f t="shared" si="23"/>
        <v>27</v>
      </c>
      <c r="BW30" s="537">
        <v>-1505.8954069594024</v>
      </c>
      <c r="BZ30" s="551">
        <f t="shared" si="9"/>
        <v>27</v>
      </c>
      <c r="CA30" s="552">
        <f t="shared" si="24"/>
        <v>1505895.4069594024</v>
      </c>
      <c r="CD30" s="551">
        <f t="shared" si="25"/>
        <v>27</v>
      </c>
      <c r="CE30" s="654">
        <f t="shared" si="26"/>
        <v>6249656.9695228636</v>
      </c>
      <c r="CF30" s="654">
        <v>249986.27878091458</v>
      </c>
      <c r="CG30" s="654">
        <v>249986.27878091458</v>
      </c>
      <c r="CH30" s="654">
        <v>35294.462053934745</v>
      </c>
    </row>
    <row r="31" spans="2:86">
      <c r="B31" s="536">
        <v>28</v>
      </c>
      <c r="C31" s="537">
        <v>-91.629078487594683</v>
      </c>
      <c r="D31" s="537">
        <v>-422.90343917351385</v>
      </c>
      <c r="E31" s="537">
        <v>-704.83906528918988</v>
      </c>
      <c r="G31" s="551">
        <f t="shared" si="2"/>
        <v>28</v>
      </c>
      <c r="H31" s="552">
        <f t="shared" si="10"/>
        <v>91629.078487594685</v>
      </c>
      <c r="I31" s="552">
        <f t="shared" si="11"/>
        <v>422903.43917351385</v>
      </c>
      <c r="J31" s="552">
        <f t="shared" si="12"/>
        <v>704839.06528918992</v>
      </c>
      <c r="K31" s="552">
        <f t="shared" si="13"/>
        <v>1219371.5829502984</v>
      </c>
      <c r="N31" s="536">
        <f t="shared" si="14"/>
        <v>28</v>
      </c>
      <c r="O31" s="539">
        <v>0</v>
      </c>
      <c r="P31" s="539">
        <v>326.2141926428792</v>
      </c>
      <c r="Q31" s="539">
        <v>139.82490318076222</v>
      </c>
      <c r="R31" s="539">
        <v>68.444318043177603</v>
      </c>
      <c r="S31" s="539">
        <v>279.14487459970161</v>
      </c>
      <c r="T31" s="539">
        <v>168.24658306646774</v>
      </c>
      <c r="U31" s="539">
        <v>0</v>
      </c>
      <c r="V31" s="539">
        <v>193.71930185643851</v>
      </c>
      <c r="W31" s="539">
        <v>97.085541462000009</v>
      </c>
      <c r="X31" s="539">
        <v>42.908690309712</v>
      </c>
      <c r="Y31" s="539">
        <v>68.455874459049156</v>
      </c>
      <c r="Z31" s="539">
        <v>162.13295412953281</v>
      </c>
      <c r="AA31" s="539">
        <v>1527.4732225949915</v>
      </c>
      <c r="AB31" s="539">
        <v>85.942700000000002</v>
      </c>
      <c r="AC31" s="539">
        <v>1006.2035426718669</v>
      </c>
      <c r="AD31" s="539">
        <v>473.89524106944361</v>
      </c>
      <c r="AE31" s="539">
        <v>320.20564121074483</v>
      </c>
      <c r="AF31" s="539">
        <v>263.17065963823865</v>
      </c>
      <c r="AG31" s="539">
        <v>1026.5887285878582</v>
      </c>
      <c r="AI31" s="536">
        <f t="shared" si="15"/>
        <v>28</v>
      </c>
      <c r="AJ31" s="543">
        <f t="shared" si="16"/>
        <v>0</v>
      </c>
      <c r="AK31" s="543">
        <f t="shared" si="16"/>
        <v>326214.19264287921</v>
      </c>
      <c r="AL31" s="543">
        <f t="shared" si="27"/>
        <v>139824.90318076222</v>
      </c>
      <c r="AM31" s="543">
        <f t="shared" si="28"/>
        <v>68444.318043177598</v>
      </c>
      <c r="AN31" s="543">
        <f t="shared" si="29"/>
        <v>279144.87459970161</v>
      </c>
      <c r="AO31" s="543">
        <f t="shared" si="30"/>
        <v>168246.58306646775</v>
      </c>
      <c r="AP31" s="543">
        <f t="shared" si="31"/>
        <v>0</v>
      </c>
      <c r="AQ31" s="543">
        <f t="shared" si="32"/>
        <v>193719.30185643851</v>
      </c>
      <c r="AR31" s="543">
        <f t="shared" si="33"/>
        <v>97085.541462000008</v>
      </c>
      <c r="AS31" s="543">
        <f t="shared" si="34"/>
        <v>42908.690309712001</v>
      </c>
      <c r="AT31" s="543">
        <f t="shared" si="35"/>
        <v>68455.874459049155</v>
      </c>
      <c r="AU31" s="543">
        <f t="shared" si="36"/>
        <v>162132.95412953279</v>
      </c>
      <c r="AV31" s="545">
        <f t="shared" si="37"/>
        <v>1527473.2225949916</v>
      </c>
      <c r="AW31" s="543">
        <f t="shared" si="38"/>
        <v>85942.7</v>
      </c>
      <c r="AX31" s="545">
        <f t="shared" si="39"/>
        <v>1006203.5426718669</v>
      </c>
      <c r="AY31" s="545">
        <f t="shared" si="40"/>
        <v>473895.24106944364</v>
      </c>
      <c r="AZ31" s="543">
        <f t="shared" si="41"/>
        <v>320205.64121074486</v>
      </c>
      <c r="BA31" s="543">
        <f t="shared" si="42"/>
        <v>263170.65963823866</v>
      </c>
      <c r="BB31" s="545">
        <f t="shared" si="43"/>
        <v>1026588.7285878583</v>
      </c>
      <c r="BC31" s="543">
        <f t="shared" si="17"/>
        <v>6249656.9695228655</v>
      </c>
      <c r="BE31" s="548">
        <f t="shared" si="18"/>
        <v>28</v>
      </c>
      <c r="BF31" s="549">
        <f t="shared" si="4"/>
        <v>1527473.2225949916</v>
      </c>
      <c r="BG31" s="549">
        <f t="shared" si="5"/>
        <v>1026588.7285878583</v>
      </c>
      <c r="BH31" s="549">
        <f t="shared" si="6"/>
        <v>1006203.5426718669</v>
      </c>
      <c r="BI31" s="549">
        <f t="shared" si="7"/>
        <v>473895.24106944364</v>
      </c>
      <c r="BJ31" s="550">
        <f t="shared" si="19"/>
        <v>2215496.2345987041</v>
      </c>
      <c r="BK31" s="550">
        <f t="shared" si="20"/>
        <v>6249656.9695228636</v>
      </c>
      <c r="BL31" s="651"/>
      <c r="BN31" s="536">
        <f t="shared" si="21"/>
        <v>28</v>
      </c>
      <c r="BO31">
        <v>-1053.6374738674331</v>
      </c>
      <c r="BR31" s="551">
        <f t="shared" si="8"/>
        <v>28</v>
      </c>
      <c r="BS31" s="552">
        <f t="shared" si="22"/>
        <v>1053637.4738674331</v>
      </c>
      <c r="BV31" s="536">
        <f t="shared" si="23"/>
        <v>28</v>
      </c>
      <c r="BW31" s="537">
        <v>-1509.7298060692769</v>
      </c>
      <c r="BZ31" s="551">
        <f t="shared" si="9"/>
        <v>28</v>
      </c>
      <c r="CA31" s="552">
        <f t="shared" si="24"/>
        <v>1509729.806069277</v>
      </c>
      <c r="CD31" s="551">
        <f t="shared" si="25"/>
        <v>28</v>
      </c>
      <c r="CE31" s="654">
        <f t="shared" si="26"/>
        <v>6249656.9695228636</v>
      </c>
      <c r="CF31" s="654">
        <v>249986.27878091458</v>
      </c>
      <c r="CG31" s="654">
        <v>249986.27878091458</v>
      </c>
      <c r="CH31" s="654">
        <v>35382.921077517334</v>
      </c>
    </row>
    <row r="32" spans="2:86">
      <c r="B32" s="536">
        <v>29</v>
      </c>
      <c r="C32" s="537">
        <v>-91.858934502617757</v>
      </c>
      <c r="D32" s="537">
        <v>-423.96431308900497</v>
      </c>
      <c r="E32" s="537">
        <v>-706.60718848167505</v>
      </c>
      <c r="G32" s="551">
        <f t="shared" si="2"/>
        <v>29</v>
      </c>
      <c r="H32" s="552">
        <f t="shared" si="10"/>
        <v>91858.934502617762</v>
      </c>
      <c r="I32" s="552">
        <f t="shared" si="11"/>
        <v>423964.31308900495</v>
      </c>
      <c r="J32" s="552">
        <f t="shared" si="12"/>
        <v>706607.188481675</v>
      </c>
      <c r="K32" s="552">
        <f t="shared" si="13"/>
        <v>1222430.4360732976</v>
      </c>
      <c r="N32" s="536">
        <f t="shared" si="14"/>
        <v>29</v>
      </c>
      <c r="O32" s="539">
        <v>0</v>
      </c>
      <c r="P32" s="539">
        <v>326.2141926428792</v>
      </c>
      <c r="Q32" s="539">
        <v>139.82490318076222</v>
      </c>
      <c r="R32" s="539">
        <v>68.444318043177603</v>
      </c>
      <c r="S32" s="539">
        <v>279.14487459970161</v>
      </c>
      <c r="T32" s="539">
        <v>168.24658306646774</v>
      </c>
      <c r="U32" s="539">
        <v>0</v>
      </c>
      <c r="V32" s="539">
        <v>193.71930185643851</v>
      </c>
      <c r="W32" s="539">
        <v>97.085541462000009</v>
      </c>
      <c r="X32" s="539">
        <v>42.908690309712</v>
      </c>
      <c r="Y32" s="539">
        <v>68.455874459049156</v>
      </c>
      <c r="Z32" s="539">
        <v>162.13295412953281</v>
      </c>
      <c r="AA32" s="539">
        <v>1527.4732225949915</v>
      </c>
      <c r="AB32" s="539">
        <v>85.942700000000002</v>
      </c>
      <c r="AC32" s="539">
        <v>1006.2035426718669</v>
      </c>
      <c r="AD32" s="539">
        <v>473.89524106944361</v>
      </c>
      <c r="AE32" s="539">
        <v>320.20564121074483</v>
      </c>
      <c r="AF32" s="539">
        <v>263.17065963823865</v>
      </c>
      <c r="AG32" s="539">
        <v>1026.5887285878582</v>
      </c>
      <c r="AI32" s="536">
        <f t="shared" si="15"/>
        <v>29</v>
      </c>
      <c r="AJ32" s="543">
        <f t="shared" si="16"/>
        <v>0</v>
      </c>
      <c r="AK32" s="543">
        <f t="shared" si="16"/>
        <v>326214.19264287921</v>
      </c>
      <c r="AL32" s="543">
        <f t="shared" si="27"/>
        <v>139824.90318076222</v>
      </c>
      <c r="AM32" s="543">
        <f t="shared" si="28"/>
        <v>68444.318043177598</v>
      </c>
      <c r="AN32" s="543">
        <f t="shared" si="29"/>
        <v>279144.87459970161</v>
      </c>
      <c r="AO32" s="543">
        <f t="shared" si="30"/>
        <v>168246.58306646775</v>
      </c>
      <c r="AP32" s="543">
        <f t="shared" si="31"/>
        <v>0</v>
      </c>
      <c r="AQ32" s="543">
        <f t="shared" si="32"/>
        <v>193719.30185643851</v>
      </c>
      <c r="AR32" s="543">
        <f t="shared" si="33"/>
        <v>97085.541462000008</v>
      </c>
      <c r="AS32" s="543">
        <f t="shared" si="34"/>
        <v>42908.690309712001</v>
      </c>
      <c r="AT32" s="543">
        <f t="shared" si="35"/>
        <v>68455.874459049155</v>
      </c>
      <c r="AU32" s="543">
        <f t="shared" si="36"/>
        <v>162132.95412953279</v>
      </c>
      <c r="AV32" s="545">
        <f t="shared" si="37"/>
        <v>1527473.2225949916</v>
      </c>
      <c r="AW32" s="543">
        <f t="shared" si="38"/>
        <v>85942.7</v>
      </c>
      <c r="AX32" s="545">
        <f t="shared" si="39"/>
        <v>1006203.5426718669</v>
      </c>
      <c r="AY32" s="545">
        <f t="shared" si="40"/>
        <v>473895.24106944364</v>
      </c>
      <c r="AZ32" s="543">
        <f t="shared" si="41"/>
        <v>320205.64121074486</v>
      </c>
      <c r="BA32" s="543">
        <f t="shared" si="42"/>
        <v>263170.65963823866</v>
      </c>
      <c r="BB32" s="545">
        <f t="shared" si="43"/>
        <v>1026588.7285878583</v>
      </c>
      <c r="BC32" s="543">
        <f t="shared" si="17"/>
        <v>6249656.9695228655</v>
      </c>
      <c r="BE32" s="548">
        <f t="shared" si="18"/>
        <v>29</v>
      </c>
      <c r="BF32" s="549">
        <f t="shared" si="4"/>
        <v>1527473.2225949916</v>
      </c>
      <c r="BG32" s="549">
        <f t="shared" si="5"/>
        <v>1026588.7285878583</v>
      </c>
      <c r="BH32" s="549">
        <f t="shared" si="6"/>
        <v>1006203.5426718669</v>
      </c>
      <c r="BI32" s="549">
        <f t="shared" si="7"/>
        <v>473895.24106944364</v>
      </c>
      <c r="BJ32" s="550">
        <f t="shared" si="19"/>
        <v>2215496.2345987041</v>
      </c>
      <c r="BK32" s="550">
        <f t="shared" si="20"/>
        <v>6249656.9695228636</v>
      </c>
      <c r="BL32" s="651"/>
      <c r="BN32" s="536">
        <f t="shared" si="21"/>
        <v>29</v>
      </c>
      <c r="BO32">
        <v>-1053.6374738674331</v>
      </c>
      <c r="BR32" s="551">
        <f t="shared" si="8"/>
        <v>29</v>
      </c>
      <c r="BS32" s="552">
        <f t="shared" si="22"/>
        <v>1053637.4738674331</v>
      </c>
      <c r="BV32" s="536">
        <f t="shared" si="23"/>
        <v>29</v>
      </c>
      <c r="BW32" s="537">
        <v>-1513.5772421361248</v>
      </c>
      <c r="BZ32" s="551">
        <f t="shared" si="9"/>
        <v>29</v>
      </c>
      <c r="CA32" s="552">
        <f t="shared" si="24"/>
        <v>1513577.2421361248</v>
      </c>
      <c r="CD32" s="551">
        <f t="shared" si="25"/>
        <v>29</v>
      </c>
      <c r="CE32" s="654">
        <f t="shared" si="26"/>
        <v>6249656.9695228636</v>
      </c>
      <c r="CF32" s="654">
        <v>249986.27878091458</v>
      </c>
      <c r="CG32" s="654">
        <v>249986.27878091458</v>
      </c>
      <c r="CH32" s="654">
        <v>35471.680861780085</v>
      </c>
    </row>
    <row r="33" spans="2:86">
      <c r="B33" s="536">
        <v>30</v>
      </c>
      <c r="C33" s="537">
        <v>-92.089572028091951</v>
      </c>
      <c r="D33" s="537">
        <v>-425.02879397580898</v>
      </c>
      <c r="E33" s="537">
        <v>-708.38132329301504</v>
      </c>
      <c r="G33" s="551">
        <f t="shared" si="2"/>
        <v>30</v>
      </c>
      <c r="H33" s="552">
        <f>-C33*1000</f>
        <v>92089.572028091949</v>
      </c>
      <c r="I33" s="552">
        <f>-D33*1000</f>
        <v>425028.79397580901</v>
      </c>
      <c r="J33" s="552">
        <f>-E33*1000</f>
        <v>708381.32329301501</v>
      </c>
      <c r="K33" s="552">
        <f t="shared" si="13"/>
        <v>1225499.6892969159</v>
      </c>
      <c r="N33" s="536">
        <f t="shared" si="14"/>
        <v>30</v>
      </c>
      <c r="O33" s="539">
        <v>0</v>
      </c>
      <c r="P33" s="539">
        <v>326.2141926428792</v>
      </c>
      <c r="Q33" s="539">
        <v>139.82490318076222</v>
      </c>
      <c r="R33" s="539">
        <v>68.444318043177603</v>
      </c>
      <c r="S33" s="539">
        <v>279.14487459970161</v>
      </c>
      <c r="T33" s="539">
        <v>168.24658306646774</v>
      </c>
      <c r="U33" s="539">
        <v>0</v>
      </c>
      <c r="V33" s="539">
        <v>193.71930185643851</v>
      </c>
      <c r="W33" s="539">
        <v>97.085541462000009</v>
      </c>
      <c r="X33" s="539">
        <v>42.908690309712</v>
      </c>
      <c r="Y33" s="539">
        <v>68.455874459049156</v>
      </c>
      <c r="Z33" s="539">
        <v>162.13295412953281</v>
      </c>
      <c r="AA33" s="539">
        <v>1527.4732225949915</v>
      </c>
      <c r="AB33" s="539">
        <v>85.942700000000002</v>
      </c>
      <c r="AC33" s="539">
        <v>1006.2035426718669</v>
      </c>
      <c r="AD33" s="539">
        <v>473.89524106944361</v>
      </c>
      <c r="AE33" s="539">
        <v>320.20564121074483</v>
      </c>
      <c r="AF33" s="539">
        <v>263.17065963823865</v>
      </c>
      <c r="AG33" s="539">
        <v>1026.5887285878582</v>
      </c>
      <c r="AI33" s="536">
        <f t="shared" si="15"/>
        <v>30</v>
      </c>
      <c r="AJ33" s="543">
        <f t="shared" si="16"/>
        <v>0</v>
      </c>
      <c r="AK33" s="543">
        <f t="shared" si="16"/>
        <v>326214.19264287921</v>
      </c>
      <c r="AL33" s="543">
        <f t="shared" si="27"/>
        <v>139824.90318076222</v>
      </c>
      <c r="AM33" s="543">
        <f t="shared" si="28"/>
        <v>68444.318043177598</v>
      </c>
      <c r="AN33" s="543">
        <f t="shared" si="29"/>
        <v>279144.87459970161</v>
      </c>
      <c r="AO33" s="543">
        <f t="shared" si="30"/>
        <v>168246.58306646775</v>
      </c>
      <c r="AP33" s="543">
        <f t="shared" si="31"/>
        <v>0</v>
      </c>
      <c r="AQ33" s="543">
        <f t="shared" si="32"/>
        <v>193719.30185643851</v>
      </c>
      <c r="AR33" s="543">
        <f t="shared" si="33"/>
        <v>97085.541462000008</v>
      </c>
      <c r="AS33" s="543">
        <f t="shared" si="34"/>
        <v>42908.690309712001</v>
      </c>
      <c r="AT33" s="543">
        <f t="shared" si="35"/>
        <v>68455.874459049155</v>
      </c>
      <c r="AU33" s="543">
        <f t="shared" si="36"/>
        <v>162132.95412953279</v>
      </c>
      <c r="AV33" s="545">
        <f t="shared" si="37"/>
        <v>1527473.2225949916</v>
      </c>
      <c r="AW33" s="543">
        <f t="shared" si="38"/>
        <v>85942.7</v>
      </c>
      <c r="AX33" s="545">
        <f t="shared" si="39"/>
        <v>1006203.5426718669</v>
      </c>
      <c r="AY33" s="545">
        <f t="shared" si="40"/>
        <v>473895.24106944364</v>
      </c>
      <c r="AZ33" s="543">
        <f t="shared" si="41"/>
        <v>320205.64121074486</v>
      </c>
      <c r="BA33" s="543">
        <f t="shared" si="42"/>
        <v>263170.65963823866</v>
      </c>
      <c r="BB33" s="545">
        <f t="shared" si="43"/>
        <v>1026588.7285878583</v>
      </c>
      <c r="BC33" s="543">
        <f>SUM(AJ33:BB33)</f>
        <v>6249656.9695228655</v>
      </c>
      <c r="BE33" s="548">
        <f t="shared" si="18"/>
        <v>30</v>
      </c>
      <c r="BF33" s="549">
        <f t="shared" si="4"/>
        <v>1527473.2225949916</v>
      </c>
      <c r="BG33" s="549">
        <f t="shared" si="5"/>
        <v>1026588.7285878583</v>
      </c>
      <c r="BH33" s="549">
        <f t="shared" si="6"/>
        <v>1006203.5426718669</v>
      </c>
      <c r="BI33" s="549">
        <f t="shared" si="7"/>
        <v>473895.24106944364</v>
      </c>
      <c r="BJ33" s="550">
        <f t="shared" si="19"/>
        <v>2215496.2345987041</v>
      </c>
      <c r="BK33" s="550">
        <f t="shared" si="20"/>
        <v>6249656.9695228636</v>
      </c>
      <c r="BL33" s="651"/>
      <c r="BN33" s="536">
        <f t="shared" si="21"/>
        <v>30</v>
      </c>
      <c r="BO33">
        <v>-1053.6374738674331</v>
      </c>
      <c r="BR33" s="551">
        <f t="shared" si="8"/>
        <v>30</v>
      </c>
      <c r="BS33" s="552">
        <f t="shared" si="22"/>
        <v>1053637.4738674331</v>
      </c>
      <c r="BV33" s="536">
        <f t="shared" si="23"/>
        <v>30</v>
      </c>
      <c r="BW33" s="537">
        <v>-1517.4377594856007</v>
      </c>
      <c r="BZ33" s="551">
        <f t="shared" si="9"/>
        <v>30</v>
      </c>
      <c r="CA33" s="552">
        <f t="shared" si="24"/>
        <v>1517437.7594856007</v>
      </c>
      <c r="CD33" s="551">
        <f t="shared" si="25"/>
        <v>30</v>
      </c>
      <c r="CE33" s="654">
        <f t="shared" si="26"/>
        <v>6249656.9695228636</v>
      </c>
      <c r="CF33" s="654">
        <v>249986.27878091458</v>
      </c>
      <c r="CG33" s="654">
        <v>249986.27878091458</v>
      </c>
      <c r="CH33" s="654">
        <v>35560.74242930935</v>
      </c>
    </row>
    <row r="34" spans="2:86">
      <c r="CD34" s="655" t="s">
        <v>445</v>
      </c>
      <c r="CE34" s="654">
        <f>SUM(CE4:CE33)</f>
        <v>181865017.81311533</v>
      </c>
      <c r="CF34" s="654">
        <f t="shared" ref="CF34:CH34" si="44">SUM(CF4:CF33)</f>
        <v>7274600.7125246162</v>
      </c>
      <c r="CG34" s="654">
        <f t="shared" si="44"/>
        <v>7274600.7125246162</v>
      </c>
      <c r="CH34" s="654">
        <f t="shared" si="44"/>
        <v>1002020.5912031322</v>
      </c>
    </row>
  </sheetData>
  <sheetProtection password="C643" sheet="1" objects="1" scenarios="1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P285"/>
  <sheetViews>
    <sheetView zoomScale="130" zoomScaleNormal="130" workbookViewId="0">
      <pane ySplit="4" topLeftCell="A5" activePane="bottomLeft" state="frozen"/>
      <selection pane="bottomLeft" activeCell="G68" sqref="G68"/>
      <selection activeCell="G68" sqref="G68"/>
    </sheetView>
  </sheetViews>
  <sheetFormatPr defaultColWidth="14.42578125" defaultRowHeight="15" customHeight="1" outlineLevelRow="1"/>
  <cols>
    <col min="1" max="1" width="40.28515625" customWidth="1"/>
    <col min="2" max="2" width="8.28515625" customWidth="1"/>
    <col min="3" max="3" width="18.28515625" customWidth="1"/>
    <col min="4" max="39" width="15.42578125" customWidth="1"/>
    <col min="40" max="40" width="9.28515625" customWidth="1"/>
    <col min="41" max="41" width="16.7109375" customWidth="1"/>
    <col min="42" max="42" width="14" customWidth="1"/>
  </cols>
  <sheetData>
    <row r="1" spans="1:39" s="148" customFormat="1" ht="12.75" customHeight="1">
      <c r="A1" s="146" t="s">
        <v>446</v>
      </c>
      <c r="B1" s="147"/>
      <c r="C1" s="146"/>
      <c r="D1" s="146">
        <f>DRE!E1</f>
        <v>2025</v>
      </c>
      <c r="E1" s="146">
        <f>DRE!F1</f>
        <v>2026</v>
      </c>
      <c r="F1" s="146">
        <f>DRE!G1</f>
        <v>2027</v>
      </c>
      <c r="G1" s="146">
        <f>DRE!H1</f>
        <v>2028</v>
      </c>
      <c r="H1" s="146">
        <f>DRE!I1</f>
        <v>2029</v>
      </c>
      <c r="I1" s="146">
        <f>DRE!J1</f>
        <v>2030</v>
      </c>
      <c r="J1" s="146">
        <f>DRE!K1</f>
        <v>2031</v>
      </c>
      <c r="K1" s="146">
        <f>DRE!L1</f>
        <v>2032</v>
      </c>
      <c r="L1" s="146">
        <f>DRE!M1</f>
        <v>2033</v>
      </c>
      <c r="M1" s="146">
        <f>DRE!N1</f>
        <v>2034</v>
      </c>
      <c r="N1" s="146">
        <f>DRE!O1</f>
        <v>2035</v>
      </c>
      <c r="O1" s="146">
        <f>DRE!P1</f>
        <v>2036</v>
      </c>
      <c r="P1" s="146">
        <f>DRE!Q1</f>
        <v>2037</v>
      </c>
      <c r="Q1" s="146">
        <f>DRE!R1</f>
        <v>2038</v>
      </c>
      <c r="R1" s="146">
        <f>DRE!S1</f>
        <v>2039</v>
      </c>
      <c r="S1" s="146">
        <f>DRE!T1</f>
        <v>2040</v>
      </c>
      <c r="T1" s="146">
        <f>DRE!U1</f>
        <v>2041</v>
      </c>
      <c r="U1" s="146">
        <f>DRE!V1</f>
        <v>2042</v>
      </c>
      <c r="V1" s="146">
        <f>DRE!W1</f>
        <v>2043</v>
      </c>
      <c r="W1" s="146">
        <f>DRE!X1</f>
        <v>2044</v>
      </c>
      <c r="X1" s="146">
        <f>DRE!Y1</f>
        <v>2045</v>
      </c>
      <c r="Y1" s="146">
        <f>DRE!Z1</f>
        <v>2046</v>
      </c>
      <c r="Z1" s="146">
        <f>DRE!AA1</f>
        <v>2047</v>
      </c>
      <c r="AA1" s="146">
        <f>DRE!AB1</f>
        <v>2048</v>
      </c>
      <c r="AB1" s="146">
        <f>DRE!AC1</f>
        <v>2049</v>
      </c>
      <c r="AC1" s="146">
        <f>DRE!AD1</f>
        <v>2050</v>
      </c>
      <c r="AD1" s="146">
        <f>DRE!AE1</f>
        <v>2051</v>
      </c>
      <c r="AE1" s="146">
        <f>DRE!AF1</f>
        <v>2052</v>
      </c>
      <c r="AF1" s="146">
        <f>DRE!AG1</f>
        <v>2053</v>
      </c>
      <c r="AG1" s="146">
        <f>DRE!AH1</f>
        <v>2054</v>
      </c>
      <c r="AH1" s="146">
        <f>DRE!AI1</f>
        <v>2055</v>
      </c>
      <c r="AI1" s="146">
        <f>DRE!AJ1</f>
        <v>2056</v>
      </c>
      <c r="AJ1" s="146">
        <f>DRE!AK1</f>
        <v>2057</v>
      </c>
      <c r="AK1" s="146">
        <f>DRE!AL1</f>
        <v>2058</v>
      </c>
      <c r="AL1" s="146">
        <f>DRE!AM1</f>
        <v>2059</v>
      </c>
      <c r="AM1" s="146">
        <f>DRE!AN1</f>
        <v>2060</v>
      </c>
    </row>
    <row r="2" spans="1:39" s="163" customFormat="1" ht="12.75" customHeight="1">
      <c r="A2" s="153" t="s">
        <v>107</v>
      </c>
      <c r="B2" s="153"/>
      <c r="C2" s="154"/>
      <c r="D2" s="153">
        <f>DRE!E2</f>
        <v>1</v>
      </c>
      <c r="E2" s="153">
        <f>DRE!F2</f>
        <v>2</v>
      </c>
      <c r="F2" s="153">
        <f>DRE!G2</f>
        <v>3</v>
      </c>
      <c r="G2" s="153">
        <f>DRE!H2</f>
        <v>4</v>
      </c>
      <c r="H2" s="153">
        <f>DRE!I2</f>
        <v>5</v>
      </c>
      <c r="I2" s="153">
        <f>DRE!J2</f>
        <v>6</v>
      </c>
      <c r="J2" s="153">
        <f>DRE!K2</f>
        <v>7</v>
      </c>
      <c r="K2" s="153">
        <f>DRE!L2</f>
        <v>8</v>
      </c>
      <c r="L2" s="153">
        <f>DRE!M2</f>
        <v>9</v>
      </c>
      <c r="M2" s="153">
        <f>DRE!N2</f>
        <v>10</v>
      </c>
      <c r="N2" s="153">
        <f>DRE!O2</f>
        <v>11</v>
      </c>
      <c r="O2" s="153">
        <f>DRE!P2</f>
        <v>12</v>
      </c>
      <c r="P2" s="153">
        <f>DRE!Q2</f>
        <v>13</v>
      </c>
      <c r="Q2" s="153">
        <f>DRE!R2</f>
        <v>14</v>
      </c>
      <c r="R2" s="153">
        <f>DRE!S2</f>
        <v>15</v>
      </c>
      <c r="S2" s="153">
        <f>DRE!T2</f>
        <v>16</v>
      </c>
      <c r="T2" s="153">
        <f>DRE!U2</f>
        <v>17</v>
      </c>
      <c r="U2" s="153">
        <f>DRE!V2</f>
        <v>18</v>
      </c>
      <c r="V2" s="153">
        <f>DRE!W2</f>
        <v>19</v>
      </c>
      <c r="W2" s="153">
        <f>DRE!X2</f>
        <v>20</v>
      </c>
      <c r="X2" s="153">
        <f>DRE!Y2</f>
        <v>21</v>
      </c>
      <c r="Y2" s="153">
        <f>DRE!Z2</f>
        <v>22</v>
      </c>
      <c r="Z2" s="153">
        <f>DRE!AA2</f>
        <v>23</v>
      </c>
      <c r="AA2" s="153">
        <f>DRE!AB2</f>
        <v>24</v>
      </c>
      <c r="AB2" s="153">
        <f>DRE!AC2</f>
        <v>25</v>
      </c>
      <c r="AC2" s="153">
        <f>DRE!AD2</f>
        <v>26</v>
      </c>
      <c r="AD2" s="153">
        <f>DRE!AE2</f>
        <v>27</v>
      </c>
      <c r="AE2" s="153">
        <f>DRE!AF2</f>
        <v>28</v>
      </c>
      <c r="AF2" s="153">
        <f>DRE!AG2</f>
        <v>29</v>
      </c>
      <c r="AG2" s="153">
        <f>DRE!AH2</f>
        <v>30</v>
      </c>
      <c r="AH2" s="153">
        <f>DRE!AI2</f>
        <v>31</v>
      </c>
      <c r="AI2" s="153">
        <f>DRE!AJ2</f>
        <v>32</v>
      </c>
      <c r="AJ2" s="153">
        <f>DRE!AK2</f>
        <v>33</v>
      </c>
      <c r="AK2" s="153">
        <f>DRE!AL2</f>
        <v>34</v>
      </c>
      <c r="AL2" s="153">
        <f>DRE!AM2</f>
        <v>35</v>
      </c>
      <c r="AM2" s="153">
        <f>DRE!AN2</f>
        <v>36</v>
      </c>
    </row>
    <row r="3" spans="1:39" s="163" customFormat="1" ht="12.75" customHeight="1">
      <c r="A3" s="153" t="s">
        <v>108</v>
      </c>
      <c r="B3" s="153"/>
      <c r="C3" s="154"/>
      <c r="D3" s="155">
        <f>DRE!E3</f>
        <v>1</v>
      </c>
      <c r="E3" s="155">
        <f>DRE!F3</f>
        <v>1</v>
      </c>
      <c r="F3" s="155">
        <f>DRE!G3</f>
        <v>1</v>
      </c>
      <c r="G3" s="155">
        <f>DRE!H3</f>
        <v>1</v>
      </c>
      <c r="H3" s="155">
        <f>DRE!I3</f>
        <v>1</v>
      </c>
      <c r="I3" s="155">
        <f>DRE!J3</f>
        <v>1</v>
      </c>
      <c r="J3" s="155">
        <f>DRE!K3</f>
        <v>1</v>
      </c>
      <c r="K3" s="155">
        <f>DRE!L3</f>
        <v>1</v>
      </c>
      <c r="L3" s="155">
        <f>DRE!M3</f>
        <v>1</v>
      </c>
      <c r="M3" s="155">
        <f>DRE!N3</f>
        <v>1</v>
      </c>
      <c r="N3" s="155">
        <f>DRE!O3</f>
        <v>1</v>
      </c>
      <c r="O3" s="155">
        <f>DRE!P3</f>
        <v>1</v>
      </c>
      <c r="P3" s="155">
        <f>DRE!Q3</f>
        <v>1</v>
      </c>
      <c r="Q3" s="155">
        <f>DRE!R3</f>
        <v>1</v>
      </c>
      <c r="R3" s="155">
        <f>DRE!S3</f>
        <v>1</v>
      </c>
      <c r="S3" s="155">
        <f>DRE!T3</f>
        <v>1</v>
      </c>
      <c r="T3" s="155">
        <f>DRE!U3</f>
        <v>1</v>
      </c>
      <c r="U3" s="155">
        <f>DRE!V3</f>
        <v>1</v>
      </c>
      <c r="V3" s="155">
        <f>DRE!W3</f>
        <v>1</v>
      </c>
      <c r="W3" s="155">
        <f>DRE!X3</f>
        <v>1</v>
      </c>
      <c r="X3" s="155">
        <f>DRE!Y3</f>
        <v>1</v>
      </c>
      <c r="Y3" s="155">
        <f>DRE!Z3</f>
        <v>1</v>
      </c>
      <c r="Z3" s="155">
        <f>DRE!AA3</f>
        <v>1</v>
      </c>
      <c r="AA3" s="155">
        <f>DRE!AB3</f>
        <v>1</v>
      </c>
      <c r="AB3" s="155">
        <f>DRE!AC3</f>
        <v>1</v>
      </c>
      <c r="AC3" s="155">
        <f>DRE!AD3</f>
        <v>1</v>
      </c>
      <c r="AD3" s="155">
        <f>DRE!AE3</f>
        <v>1</v>
      </c>
      <c r="AE3" s="155">
        <f>DRE!AF3</f>
        <v>1</v>
      </c>
      <c r="AF3" s="155">
        <f>DRE!AG3</f>
        <v>1</v>
      </c>
      <c r="AG3" s="155">
        <f>DRE!AH3</f>
        <v>1</v>
      </c>
      <c r="AH3" s="155">
        <f>DRE!AI3</f>
        <v>0</v>
      </c>
      <c r="AI3" s="155">
        <f>DRE!AJ3</f>
        <v>0</v>
      </c>
      <c r="AJ3" s="155">
        <f>DRE!AK3</f>
        <v>0</v>
      </c>
      <c r="AK3" s="155">
        <f>DRE!AL3</f>
        <v>0</v>
      </c>
      <c r="AL3" s="155">
        <f>DRE!AM3</f>
        <v>0</v>
      </c>
      <c r="AM3" s="155">
        <f>DRE!AN3</f>
        <v>0</v>
      </c>
    </row>
    <row r="4" spans="1:39" s="163" customFormat="1" ht="12" customHeight="1">
      <c r="A4" s="153" t="s">
        <v>447</v>
      </c>
      <c r="B4" s="153"/>
      <c r="C4" s="631"/>
      <c r="D4" s="631">
        <f>Macro!E14</f>
        <v>1.038</v>
      </c>
      <c r="E4" s="631">
        <f>Macro!F14</f>
        <v>1.0753680000000001</v>
      </c>
      <c r="F4" s="631">
        <f>Macro!G14</f>
        <v>1.11300588</v>
      </c>
      <c r="G4" s="631">
        <f>Macro!H14</f>
        <v>1.1519610858</v>
      </c>
      <c r="H4" s="631">
        <f>Macro!I14</f>
        <v>1.1922797238029998</v>
      </c>
      <c r="I4" s="631">
        <f>Macro!J14</f>
        <v>1.2340095141361047</v>
      </c>
      <c r="J4" s="631">
        <f>Macro!K14</f>
        <v>1.2771998471308683</v>
      </c>
      <c r="K4" s="631">
        <f>Macro!L14</f>
        <v>1.3219018417804487</v>
      </c>
      <c r="L4" s="631">
        <f>Macro!M14</f>
        <v>1.3681684062427644</v>
      </c>
      <c r="M4" s="631">
        <f>Macro!N14</f>
        <v>1.4160543004612609</v>
      </c>
      <c r="N4" s="631">
        <f>Macro!O14</f>
        <v>1.465616200977405</v>
      </c>
      <c r="O4" s="631">
        <f>Macro!P14</f>
        <v>1.5169127680116141</v>
      </c>
      <c r="P4" s="631">
        <f>Macro!Q14</f>
        <v>1.5700047148920204</v>
      </c>
      <c r="Q4" s="631">
        <f>Macro!R14</f>
        <v>1.6249548799132409</v>
      </c>
      <c r="R4" s="631">
        <f>Macro!S14</f>
        <v>1.6818283007102042</v>
      </c>
      <c r="S4" s="631">
        <f>Macro!T14</f>
        <v>1.7406922912350611</v>
      </c>
      <c r="T4" s="631">
        <f>Macro!U14</f>
        <v>1.801616521428288</v>
      </c>
      <c r="U4" s="631">
        <f>Macro!V14</f>
        <v>1.8646730996782779</v>
      </c>
      <c r="V4" s="631">
        <f>Macro!W14</f>
        <v>1.9299366581670174</v>
      </c>
      <c r="W4" s="631">
        <f>Macro!X14</f>
        <v>1.9974844412028629</v>
      </c>
      <c r="X4" s="631">
        <f>Macro!Y14</f>
        <v>2.0673963966449631</v>
      </c>
      <c r="Y4" s="631">
        <f>Macro!Z14</f>
        <v>2.1397552705275364</v>
      </c>
      <c r="Z4" s="631">
        <f>Macro!AA14</f>
        <v>2.2146467049959999</v>
      </c>
      <c r="AA4" s="631">
        <f>Macro!AB14</f>
        <v>2.2921593396708597</v>
      </c>
      <c r="AB4" s="631">
        <f>Macro!AC14</f>
        <v>2.3723849165593398</v>
      </c>
      <c r="AC4" s="631">
        <f>Macro!AD14</f>
        <v>2.4554183886389165</v>
      </c>
      <c r="AD4" s="631">
        <f>Macro!AE14</f>
        <v>2.5413580322412783</v>
      </c>
      <c r="AE4" s="631">
        <f>Macro!AF14</f>
        <v>2.6303055633697228</v>
      </c>
      <c r="AF4" s="631">
        <f>Macro!AG14</f>
        <v>2.7223662580876629</v>
      </c>
      <c r="AG4" s="631">
        <f>Macro!AH14</f>
        <v>2.817649077120731</v>
      </c>
      <c r="AH4" s="631">
        <f>Macro!AI14</f>
        <v>2.9162667948199563</v>
      </c>
      <c r="AI4" s="631">
        <f>Macro!AJ14</f>
        <v>3.0183361326386544</v>
      </c>
      <c r="AJ4" s="631">
        <f>Macro!AK14</f>
        <v>3.1239778972810073</v>
      </c>
      <c r="AK4" s="631">
        <f>Macro!AL14</f>
        <v>3.2333171236858425</v>
      </c>
      <c r="AL4" s="631">
        <f>Macro!AM14</f>
        <v>3.3464832230148467</v>
      </c>
      <c r="AM4" s="631">
        <f>Macro!AN14</f>
        <v>3.4636101358203661</v>
      </c>
    </row>
    <row r="5" spans="1:39" ht="12.75" customHeight="1">
      <c r="A5" s="56"/>
      <c r="B5" s="56"/>
      <c r="C5" s="58"/>
      <c r="D5" s="58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113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</row>
    <row r="6" spans="1:39" ht="12" customHeight="1">
      <c r="A6" s="75" t="s">
        <v>448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</row>
    <row r="7" spans="1:39" ht="12" customHeight="1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</row>
    <row r="8" spans="1:39" ht="12" customHeight="1">
      <c r="A8" s="68" t="s">
        <v>47</v>
      </c>
      <c r="B8" s="114">
        <v>500</v>
      </c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</row>
    <row r="9" spans="1:39" ht="12" customHeight="1">
      <c r="A9" s="63" t="s">
        <v>449</v>
      </c>
      <c r="B9" s="60"/>
      <c r="C9" s="44"/>
      <c r="D9" s="115">
        <f>IF(Painel!$G$33="Sim",26600,0)</f>
        <v>0</v>
      </c>
      <c r="E9" s="115">
        <f>IF(Painel!$G$33="Sim",D9+30000,0)</f>
        <v>0</v>
      </c>
      <c r="F9" s="40">
        <f t="shared" ref="F9:AM9" si="0">E9</f>
        <v>0</v>
      </c>
      <c r="G9" s="40">
        <f t="shared" si="0"/>
        <v>0</v>
      </c>
      <c r="H9" s="40">
        <f t="shared" si="0"/>
        <v>0</v>
      </c>
      <c r="I9" s="40">
        <f t="shared" si="0"/>
        <v>0</v>
      </c>
      <c r="J9" s="40">
        <f t="shared" si="0"/>
        <v>0</v>
      </c>
      <c r="K9" s="40">
        <f t="shared" si="0"/>
        <v>0</v>
      </c>
      <c r="L9" s="40">
        <f t="shared" si="0"/>
        <v>0</v>
      </c>
      <c r="M9" s="40">
        <f t="shared" si="0"/>
        <v>0</v>
      </c>
      <c r="N9" s="40">
        <f t="shared" si="0"/>
        <v>0</v>
      </c>
      <c r="O9" s="40">
        <f t="shared" si="0"/>
        <v>0</v>
      </c>
      <c r="P9" s="40">
        <f t="shared" si="0"/>
        <v>0</v>
      </c>
      <c r="Q9" s="40">
        <f t="shared" si="0"/>
        <v>0</v>
      </c>
      <c r="R9" s="40">
        <f t="shared" si="0"/>
        <v>0</v>
      </c>
      <c r="S9" s="40">
        <f t="shared" si="0"/>
        <v>0</v>
      </c>
      <c r="T9" s="40">
        <f t="shared" si="0"/>
        <v>0</v>
      </c>
      <c r="U9" s="40">
        <f t="shared" si="0"/>
        <v>0</v>
      </c>
      <c r="V9" s="40">
        <f t="shared" si="0"/>
        <v>0</v>
      </c>
      <c r="W9" s="40">
        <f t="shared" si="0"/>
        <v>0</v>
      </c>
      <c r="X9" s="40">
        <f t="shared" si="0"/>
        <v>0</v>
      </c>
      <c r="Y9" s="40">
        <f t="shared" si="0"/>
        <v>0</v>
      </c>
      <c r="Z9" s="40">
        <f t="shared" si="0"/>
        <v>0</v>
      </c>
      <c r="AA9" s="40">
        <f t="shared" si="0"/>
        <v>0</v>
      </c>
      <c r="AB9" s="40">
        <f t="shared" si="0"/>
        <v>0</v>
      </c>
      <c r="AC9" s="40">
        <f t="shared" si="0"/>
        <v>0</v>
      </c>
      <c r="AD9" s="40">
        <f t="shared" si="0"/>
        <v>0</v>
      </c>
      <c r="AE9" s="40">
        <f t="shared" si="0"/>
        <v>0</v>
      </c>
      <c r="AF9" s="40">
        <f t="shared" si="0"/>
        <v>0</v>
      </c>
      <c r="AG9" s="40">
        <f t="shared" si="0"/>
        <v>0</v>
      </c>
      <c r="AH9" s="40">
        <f t="shared" si="0"/>
        <v>0</v>
      </c>
      <c r="AI9" s="40">
        <f t="shared" si="0"/>
        <v>0</v>
      </c>
      <c r="AJ9" s="40">
        <f t="shared" si="0"/>
        <v>0</v>
      </c>
      <c r="AK9" s="40">
        <f t="shared" si="0"/>
        <v>0</v>
      </c>
      <c r="AL9" s="40">
        <f t="shared" si="0"/>
        <v>0</v>
      </c>
      <c r="AM9" s="40">
        <f t="shared" si="0"/>
        <v>0</v>
      </c>
    </row>
    <row r="10" spans="1:39" ht="12" customHeight="1">
      <c r="A10" s="63" t="s">
        <v>450</v>
      </c>
      <c r="B10" s="60"/>
      <c r="C10" s="60"/>
      <c r="D10" s="40">
        <f t="shared" ref="D10:AM10" si="1">MAX(-C9/$B8,-C12)</f>
        <v>0</v>
      </c>
      <c r="E10" s="40">
        <f t="shared" si="1"/>
        <v>0</v>
      </c>
      <c r="F10" s="40">
        <f t="shared" si="1"/>
        <v>0</v>
      </c>
      <c r="G10" s="40">
        <f t="shared" si="1"/>
        <v>0</v>
      </c>
      <c r="H10" s="40">
        <f t="shared" si="1"/>
        <v>0</v>
      </c>
      <c r="I10" s="40">
        <f t="shared" si="1"/>
        <v>0</v>
      </c>
      <c r="J10" s="40">
        <f t="shared" si="1"/>
        <v>0</v>
      </c>
      <c r="K10" s="40">
        <f t="shared" si="1"/>
        <v>0</v>
      </c>
      <c r="L10" s="40">
        <f t="shared" si="1"/>
        <v>0</v>
      </c>
      <c r="M10" s="40">
        <f t="shared" si="1"/>
        <v>0</v>
      </c>
      <c r="N10" s="40">
        <f t="shared" si="1"/>
        <v>0</v>
      </c>
      <c r="O10" s="40">
        <f t="shared" si="1"/>
        <v>0</v>
      </c>
      <c r="P10" s="40">
        <f t="shared" si="1"/>
        <v>0</v>
      </c>
      <c r="Q10" s="40">
        <f t="shared" si="1"/>
        <v>0</v>
      </c>
      <c r="R10" s="40">
        <f t="shared" si="1"/>
        <v>0</v>
      </c>
      <c r="S10" s="40">
        <f t="shared" si="1"/>
        <v>0</v>
      </c>
      <c r="T10" s="40">
        <f t="shared" si="1"/>
        <v>0</v>
      </c>
      <c r="U10" s="40">
        <f t="shared" si="1"/>
        <v>0</v>
      </c>
      <c r="V10" s="40">
        <f t="shared" si="1"/>
        <v>0</v>
      </c>
      <c r="W10" s="40">
        <f t="shared" si="1"/>
        <v>0</v>
      </c>
      <c r="X10" s="40">
        <f t="shared" si="1"/>
        <v>0</v>
      </c>
      <c r="Y10" s="40">
        <f t="shared" si="1"/>
        <v>0</v>
      </c>
      <c r="Z10" s="40">
        <f t="shared" si="1"/>
        <v>0</v>
      </c>
      <c r="AA10" s="40">
        <f t="shared" si="1"/>
        <v>0</v>
      </c>
      <c r="AB10" s="40">
        <f t="shared" si="1"/>
        <v>0</v>
      </c>
      <c r="AC10" s="40">
        <f t="shared" si="1"/>
        <v>0</v>
      </c>
      <c r="AD10" s="40">
        <f t="shared" si="1"/>
        <v>0</v>
      </c>
      <c r="AE10" s="40">
        <f t="shared" si="1"/>
        <v>0</v>
      </c>
      <c r="AF10" s="40">
        <f t="shared" si="1"/>
        <v>0</v>
      </c>
      <c r="AG10" s="40">
        <f t="shared" si="1"/>
        <v>0</v>
      </c>
      <c r="AH10" s="40">
        <f t="shared" si="1"/>
        <v>0</v>
      </c>
      <c r="AI10" s="40">
        <f t="shared" si="1"/>
        <v>0</v>
      </c>
      <c r="AJ10" s="40">
        <f t="shared" si="1"/>
        <v>0</v>
      </c>
      <c r="AK10" s="40">
        <f t="shared" si="1"/>
        <v>0</v>
      </c>
      <c r="AL10" s="40">
        <f t="shared" si="1"/>
        <v>0</v>
      </c>
      <c r="AM10" s="40">
        <f t="shared" si="1"/>
        <v>0</v>
      </c>
    </row>
    <row r="11" spans="1:39" ht="12" customHeight="1">
      <c r="A11" s="63" t="s">
        <v>451</v>
      </c>
      <c r="B11" s="60"/>
      <c r="C11" s="60"/>
      <c r="D11" s="40">
        <f t="shared" ref="D11:AM11" si="2">C11+D10</f>
        <v>0</v>
      </c>
      <c r="E11" s="40">
        <f t="shared" si="2"/>
        <v>0</v>
      </c>
      <c r="F11" s="40">
        <f t="shared" si="2"/>
        <v>0</v>
      </c>
      <c r="G11" s="40">
        <f t="shared" si="2"/>
        <v>0</v>
      </c>
      <c r="H11" s="40">
        <f t="shared" si="2"/>
        <v>0</v>
      </c>
      <c r="I11" s="40">
        <f t="shared" si="2"/>
        <v>0</v>
      </c>
      <c r="J11" s="40">
        <f t="shared" si="2"/>
        <v>0</v>
      </c>
      <c r="K11" s="40">
        <f t="shared" si="2"/>
        <v>0</v>
      </c>
      <c r="L11" s="40">
        <f t="shared" si="2"/>
        <v>0</v>
      </c>
      <c r="M11" s="40">
        <f t="shared" si="2"/>
        <v>0</v>
      </c>
      <c r="N11" s="40">
        <f t="shared" si="2"/>
        <v>0</v>
      </c>
      <c r="O11" s="40">
        <f t="shared" si="2"/>
        <v>0</v>
      </c>
      <c r="P11" s="40">
        <f t="shared" si="2"/>
        <v>0</v>
      </c>
      <c r="Q11" s="40">
        <f t="shared" si="2"/>
        <v>0</v>
      </c>
      <c r="R11" s="40">
        <f t="shared" si="2"/>
        <v>0</v>
      </c>
      <c r="S11" s="40">
        <f t="shared" si="2"/>
        <v>0</v>
      </c>
      <c r="T11" s="40">
        <f t="shared" si="2"/>
        <v>0</v>
      </c>
      <c r="U11" s="40">
        <f t="shared" si="2"/>
        <v>0</v>
      </c>
      <c r="V11" s="40">
        <f t="shared" si="2"/>
        <v>0</v>
      </c>
      <c r="W11" s="40">
        <f t="shared" si="2"/>
        <v>0</v>
      </c>
      <c r="X11" s="40">
        <f t="shared" si="2"/>
        <v>0</v>
      </c>
      <c r="Y11" s="40">
        <f t="shared" si="2"/>
        <v>0</v>
      </c>
      <c r="Z11" s="40">
        <f t="shared" si="2"/>
        <v>0</v>
      </c>
      <c r="AA11" s="40">
        <f t="shared" si="2"/>
        <v>0</v>
      </c>
      <c r="AB11" s="40">
        <f t="shared" si="2"/>
        <v>0</v>
      </c>
      <c r="AC11" s="40">
        <f t="shared" si="2"/>
        <v>0</v>
      </c>
      <c r="AD11" s="40">
        <f t="shared" si="2"/>
        <v>0</v>
      </c>
      <c r="AE11" s="40">
        <f t="shared" si="2"/>
        <v>0</v>
      </c>
      <c r="AF11" s="40">
        <f t="shared" si="2"/>
        <v>0</v>
      </c>
      <c r="AG11" s="40">
        <f t="shared" si="2"/>
        <v>0</v>
      </c>
      <c r="AH11" s="40">
        <f t="shared" si="2"/>
        <v>0</v>
      </c>
      <c r="AI11" s="40">
        <f t="shared" si="2"/>
        <v>0</v>
      </c>
      <c r="AJ11" s="40">
        <f t="shared" si="2"/>
        <v>0</v>
      </c>
      <c r="AK11" s="40">
        <f t="shared" si="2"/>
        <v>0</v>
      </c>
      <c r="AL11" s="40">
        <f t="shared" si="2"/>
        <v>0</v>
      </c>
      <c r="AM11" s="40">
        <f t="shared" si="2"/>
        <v>0</v>
      </c>
    </row>
    <row r="12" spans="1:39" ht="12" customHeight="1">
      <c r="A12" s="68" t="s">
        <v>452</v>
      </c>
      <c r="B12" s="60"/>
      <c r="C12" s="34">
        <f t="shared" ref="C12:AM12" si="3">C9+C11</f>
        <v>0</v>
      </c>
      <c r="D12" s="34">
        <f t="shared" si="3"/>
        <v>0</v>
      </c>
      <c r="E12" s="34">
        <f t="shared" si="3"/>
        <v>0</v>
      </c>
      <c r="F12" s="34">
        <f t="shared" si="3"/>
        <v>0</v>
      </c>
      <c r="G12" s="34">
        <f t="shared" si="3"/>
        <v>0</v>
      </c>
      <c r="H12" s="34">
        <f t="shared" si="3"/>
        <v>0</v>
      </c>
      <c r="I12" s="34">
        <f t="shared" si="3"/>
        <v>0</v>
      </c>
      <c r="J12" s="34">
        <f t="shared" si="3"/>
        <v>0</v>
      </c>
      <c r="K12" s="34">
        <f t="shared" si="3"/>
        <v>0</v>
      </c>
      <c r="L12" s="34">
        <f t="shared" si="3"/>
        <v>0</v>
      </c>
      <c r="M12" s="34">
        <f t="shared" si="3"/>
        <v>0</v>
      </c>
      <c r="N12" s="34">
        <f t="shared" si="3"/>
        <v>0</v>
      </c>
      <c r="O12" s="34">
        <f t="shared" si="3"/>
        <v>0</v>
      </c>
      <c r="P12" s="34">
        <f t="shared" si="3"/>
        <v>0</v>
      </c>
      <c r="Q12" s="34">
        <f t="shared" si="3"/>
        <v>0</v>
      </c>
      <c r="R12" s="34">
        <f t="shared" si="3"/>
        <v>0</v>
      </c>
      <c r="S12" s="34">
        <f t="shared" si="3"/>
        <v>0</v>
      </c>
      <c r="T12" s="34">
        <f t="shared" si="3"/>
        <v>0</v>
      </c>
      <c r="U12" s="34">
        <f t="shared" si="3"/>
        <v>0</v>
      </c>
      <c r="V12" s="34">
        <f t="shared" si="3"/>
        <v>0</v>
      </c>
      <c r="W12" s="34">
        <f t="shared" si="3"/>
        <v>0</v>
      </c>
      <c r="X12" s="34">
        <f t="shared" si="3"/>
        <v>0</v>
      </c>
      <c r="Y12" s="34">
        <f t="shared" si="3"/>
        <v>0</v>
      </c>
      <c r="Z12" s="34">
        <f t="shared" si="3"/>
        <v>0</v>
      </c>
      <c r="AA12" s="34">
        <f t="shared" si="3"/>
        <v>0</v>
      </c>
      <c r="AB12" s="34">
        <f t="shared" si="3"/>
        <v>0</v>
      </c>
      <c r="AC12" s="34">
        <f t="shared" si="3"/>
        <v>0</v>
      </c>
      <c r="AD12" s="34">
        <f t="shared" si="3"/>
        <v>0</v>
      </c>
      <c r="AE12" s="34">
        <f t="shared" si="3"/>
        <v>0</v>
      </c>
      <c r="AF12" s="34">
        <f t="shared" si="3"/>
        <v>0</v>
      </c>
      <c r="AG12" s="34">
        <f t="shared" si="3"/>
        <v>0</v>
      </c>
      <c r="AH12" s="34">
        <f t="shared" si="3"/>
        <v>0</v>
      </c>
      <c r="AI12" s="34">
        <f t="shared" si="3"/>
        <v>0</v>
      </c>
      <c r="AJ12" s="34">
        <f t="shared" si="3"/>
        <v>0</v>
      </c>
      <c r="AK12" s="34">
        <f t="shared" si="3"/>
        <v>0</v>
      </c>
      <c r="AL12" s="34">
        <f t="shared" si="3"/>
        <v>0</v>
      </c>
      <c r="AM12" s="34">
        <f t="shared" si="3"/>
        <v>0</v>
      </c>
    </row>
    <row r="13" spans="1:39" ht="12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</row>
    <row r="14" spans="1:39" ht="12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</row>
    <row r="15" spans="1:39" ht="12" customHeight="1">
      <c r="A15" s="75" t="s">
        <v>453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</row>
    <row r="17" spans="1:42" ht="12" customHeight="1">
      <c r="A17" s="64" t="s">
        <v>454</v>
      </c>
      <c r="B17" s="116"/>
      <c r="C17" s="117">
        <f>SUM(D17:AM17)</f>
        <v>37473.256310061821</v>
      </c>
      <c r="D17" s="78">
        <f>CAPEX!E18</f>
        <v>29489.088791728489</v>
      </c>
      <c r="E17" s="78">
        <f>CAPEX!F18</f>
        <v>7984.1675183333336</v>
      </c>
      <c r="F17" s="78">
        <f>CAPEX!G18</f>
        <v>0</v>
      </c>
      <c r="G17" s="78">
        <f>CAPEX!H18</f>
        <v>0</v>
      </c>
      <c r="H17" s="78">
        <f>CAPEX!I18</f>
        <v>0</v>
      </c>
      <c r="I17" s="78">
        <f>CAPEX!J18</f>
        <v>0</v>
      </c>
      <c r="J17" s="78">
        <f>CAPEX!K18</f>
        <v>0</v>
      </c>
      <c r="K17" s="78">
        <f>CAPEX!L18</f>
        <v>0</v>
      </c>
      <c r="L17" s="78">
        <f>CAPEX!M18</f>
        <v>0</v>
      </c>
      <c r="M17" s="78">
        <f>CAPEX!N18</f>
        <v>0</v>
      </c>
      <c r="N17" s="78">
        <f>CAPEX!O18</f>
        <v>0</v>
      </c>
      <c r="O17" s="78">
        <f>CAPEX!P18</f>
        <v>0</v>
      </c>
      <c r="P17" s="78">
        <f>CAPEX!Q18</f>
        <v>0</v>
      </c>
      <c r="Q17" s="78">
        <f>CAPEX!R18</f>
        <v>0</v>
      </c>
      <c r="R17" s="78">
        <f>CAPEX!S18</f>
        <v>0</v>
      </c>
      <c r="S17" s="78">
        <f>CAPEX!T18</f>
        <v>0</v>
      </c>
      <c r="T17" s="78">
        <f>CAPEX!U18</f>
        <v>0</v>
      </c>
      <c r="U17" s="78">
        <f>CAPEX!V18</f>
        <v>0</v>
      </c>
      <c r="V17" s="78">
        <f>CAPEX!W18</f>
        <v>0</v>
      </c>
      <c r="W17" s="118">
        <f>CAPEX!X18</f>
        <v>0</v>
      </c>
      <c r="X17" s="78">
        <f>CAPEX!Y18</f>
        <v>0</v>
      </c>
      <c r="Y17" s="78">
        <f>CAPEX!Z18</f>
        <v>0</v>
      </c>
      <c r="Z17" s="78">
        <f>CAPEX!AA18</f>
        <v>0</v>
      </c>
      <c r="AA17" s="78">
        <f>CAPEX!AB18</f>
        <v>0</v>
      </c>
      <c r="AB17" s="78">
        <f>CAPEX!AC18</f>
        <v>0</v>
      </c>
      <c r="AC17" s="78">
        <f>CAPEX!AD18</f>
        <v>0</v>
      </c>
      <c r="AD17" s="78">
        <f>CAPEX!AE18</f>
        <v>0</v>
      </c>
      <c r="AE17" s="78">
        <f>CAPEX!AF18</f>
        <v>0</v>
      </c>
      <c r="AF17" s="78">
        <f>CAPEX!AG18</f>
        <v>0</v>
      </c>
      <c r="AG17" s="78">
        <f>CAPEX!AH18</f>
        <v>0</v>
      </c>
      <c r="AH17" s="78">
        <f>CAPEX!AI18</f>
        <v>0</v>
      </c>
      <c r="AI17" s="78">
        <f>CAPEX!AJ18</f>
        <v>0</v>
      </c>
      <c r="AJ17" s="78">
        <f>CAPEX!AK18</f>
        <v>0</v>
      </c>
      <c r="AK17" s="78">
        <f>CAPEX!AL18</f>
        <v>0</v>
      </c>
      <c r="AL17" s="78">
        <f>CAPEX!AM18</f>
        <v>0</v>
      </c>
      <c r="AM17" s="78">
        <f>CAPEX!AN18</f>
        <v>0</v>
      </c>
      <c r="AN17" s="60"/>
      <c r="AO17" s="119">
        <f>SUM(D17:AM17)</f>
        <v>37473.256310061821</v>
      </c>
      <c r="AP17" s="60"/>
    </row>
    <row r="18" spans="1:42" ht="12" customHeight="1">
      <c r="A18" s="63" t="s">
        <v>455</v>
      </c>
      <c r="B18" s="72"/>
      <c r="C18" s="40"/>
      <c r="D18" s="40">
        <f>D17</f>
        <v>29489.088791728489</v>
      </c>
      <c r="E18" s="40">
        <f t="shared" ref="E18:AM18" si="4">D18+E17</f>
        <v>37473.256310061821</v>
      </c>
      <c r="F18" s="40">
        <f t="shared" si="4"/>
        <v>37473.256310061821</v>
      </c>
      <c r="G18" s="40">
        <f t="shared" si="4"/>
        <v>37473.256310061821</v>
      </c>
      <c r="H18" s="40">
        <f t="shared" si="4"/>
        <v>37473.256310061821</v>
      </c>
      <c r="I18" s="40">
        <f t="shared" si="4"/>
        <v>37473.256310061821</v>
      </c>
      <c r="J18" s="40">
        <f t="shared" si="4"/>
        <v>37473.256310061821</v>
      </c>
      <c r="K18" s="40">
        <f t="shared" si="4"/>
        <v>37473.256310061821</v>
      </c>
      <c r="L18" s="40">
        <f t="shared" si="4"/>
        <v>37473.256310061821</v>
      </c>
      <c r="M18" s="40">
        <f t="shared" si="4"/>
        <v>37473.256310061821</v>
      </c>
      <c r="N18" s="40">
        <f t="shared" si="4"/>
        <v>37473.256310061821</v>
      </c>
      <c r="O18" s="40">
        <f t="shared" si="4"/>
        <v>37473.256310061821</v>
      </c>
      <c r="P18" s="40">
        <f t="shared" si="4"/>
        <v>37473.256310061821</v>
      </c>
      <c r="Q18" s="40">
        <f t="shared" si="4"/>
        <v>37473.256310061821</v>
      </c>
      <c r="R18" s="40">
        <f t="shared" si="4"/>
        <v>37473.256310061821</v>
      </c>
      <c r="S18" s="40">
        <f t="shared" si="4"/>
        <v>37473.256310061821</v>
      </c>
      <c r="T18" s="40">
        <f t="shared" si="4"/>
        <v>37473.256310061821</v>
      </c>
      <c r="U18" s="40">
        <f t="shared" si="4"/>
        <v>37473.256310061821</v>
      </c>
      <c r="V18" s="40">
        <f t="shared" si="4"/>
        <v>37473.256310061821</v>
      </c>
      <c r="W18" s="40">
        <f t="shared" si="4"/>
        <v>37473.256310061821</v>
      </c>
      <c r="X18" s="40">
        <f t="shared" si="4"/>
        <v>37473.256310061821</v>
      </c>
      <c r="Y18" s="40">
        <f t="shared" si="4"/>
        <v>37473.256310061821</v>
      </c>
      <c r="Z18" s="40">
        <f t="shared" si="4"/>
        <v>37473.256310061821</v>
      </c>
      <c r="AA18" s="40">
        <f t="shared" si="4"/>
        <v>37473.256310061821</v>
      </c>
      <c r="AB18" s="40">
        <f t="shared" si="4"/>
        <v>37473.256310061821</v>
      </c>
      <c r="AC18" s="40">
        <f t="shared" si="4"/>
        <v>37473.256310061821</v>
      </c>
      <c r="AD18" s="40">
        <f t="shared" si="4"/>
        <v>37473.256310061821</v>
      </c>
      <c r="AE18" s="40">
        <f t="shared" si="4"/>
        <v>37473.256310061821</v>
      </c>
      <c r="AF18" s="40">
        <f t="shared" si="4"/>
        <v>37473.256310061821</v>
      </c>
      <c r="AG18" s="40">
        <f t="shared" si="4"/>
        <v>37473.256310061821</v>
      </c>
      <c r="AH18" s="40">
        <f t="shared" si="4"/>
        <v>37473.256310061821</v>
      </c>
      <c r="AI18" s="40">
        <f t="shared" si="4"/>
        <v>37473.256310061821</v>
      </c>
      <c r="AJ18" s="40">
        <f t="shared" si="4"/>
        <v>37473.256310061821</v>
      </c>
      <c r="AK18" s="40">
        <f t="shared" si="4"/>
        <v>37473.256310061821</v>
      </c>
      <c r="AL18" s="40">
        <f t="shared" si="4"/>
        <v>37473.256310061821</v>
      </c>
      <c r="AM18" s="40">
        <f t="shared" si="4"/>
        <v>37473.256310061821</v>
      </c>
      <c r="AN18" s="60"/>
      <c r="AO18" s="60"/>
      <c r="AP18" s="60"/>
    </row>
    <row r="19" spans="1:42" ht="12" customHeight="1">
      <c r="A19" s="63" t="s">
        <v>456</v>
      </c>
      <c r="B19" s="72"/>
      <c r="C19" s="40">
        <f>SUM(D19:AM19)</f>
        <v>-31147.130732000027</v>
      </c>
      <c r="D19" s="40">
        <f>-(D28+D72+D116+D160+D204+D248)</f>
        <v>-591.64398984444449</v>
      </c>
      <c r="E19" s="40">
        <f t="shared" ref="E19:AM19" si="5">-(E28+E72+E116+E160+E204+E248)</f>
        <v>-1053.6374738674331</v>
      </c>
      <c r="F19" s="40">
        <f t="shared" si="5"/>
        <v>-1053.6374738674331</v>
      </c>
      <c r="G19" s="40">
        <f t="shared" si="5"/>
        <v>-1053.6374738674331</v>
      </c>
      <c r="H19" s="40">
        <f t="shared" si="5"/>
        <v>-1053.6374738674331</v>
      </c>
      <c r="I19" s="40">
        <f t="shared" si="5"/>
        <v>-1053.6374738674331</v>
      </c>
      <c r="J19" s="40">
        <f t="shared" si="5"/>
        <v>-1053.6374738674331</v>
      </c>
      <c r="K19" s="40">
        <f t="shared" si="5"/>
        <v>-1053.6374738674331</v>
      </c>
      <c r="L19" s="40">
        <f t="shared" si="5"/>
        <v>-1053.6374738674331</v>
      </c>
      <c r="M19" s="40">
        <f t="shared" si="5"/>
        <v>-1053.6374738674331</v>
      </c>
      <c r="N19" s="40">
        <f t="shared" si="5"/>
        <v>-1053.6374738674331</v>
      </c>
      <c r="O19" s="40">
        <f t="shared" si="5"/>
        <v>-1053.6374738674331</v>
      </c>
      <c r="P19" s="40">
        <f t="shared" si="5"/>
        <v>-1053.6374738674331</v>
      </c>
      <c r="Q19" s="40">
        <f t="shared" si="5"/>
        <v>-1053.6374738674331</v>
      </c>
      <c r="R19" s="40">
        <f t="shared" si="5"/>
        <v>-1053.6374738674331</v>
      </c>
      <c r="S19" s="40">
        <f t="shared" si="5"/>
        <v>-1053.6374738674331</v>
      </c>
      <c r="T19" s="40">
        <f t="shared" si="5"/>
        <v>-1053.6374738674331</v>
      </c>
      <c r="U19" s="40">
        <f t="shared" si="5"/>
        <v>-1053.6374738674331</v>
      </c>
      <c r="V19" s="40">
        <f t="shared" si="5"/>
        <v>-1053.6374738674331</v>
      </c>
      <c r="W19" s="40">
        <f t="shared" si="5"/>
        <v>-1053.6374738674331</v>
      </c>
      <c r="X19" s="40">
        <f t="shared" si="5"/>
        <v>-1053.6374738674331</v>
      </c>
      <c r="Y19" s="40">
        <f t="shared" si="5"/>
        <v>-1053.6374738674331</v>
      </c>
      <c r="Z19" s="40">
        <f t="shared" si="5"/>
        <v>-1053.6374738674331</v>
      </c>
      <c r="AA19" s="40">
        <f t="shared" si="5"/>
        <v>-1053.6374738674331</v>
      </c>
      <c r="AB19" s="40">
        <f t="shared" si="5"/>
        <v>-1053.6374738674331</v>
      </c>
      <c r="AC19" s="40">
        <f t="shared" si="5"/>
        <v>-1053.6374738674331</v>
      </c>
      <c r="AD19" s="40">
        <f t="shared" si="5"/>
        <v>-1053.6374738674331</v>
      </c>
      <c r="AE19" s="40">
        <f t="shared" si="5"/>
        <v>-1053.6374738674331</v>
      </c>
      <c r="AF19" s="40">
        <f t="shared" si="5"/>
        <v>-1053.6374738674331</v>
      </c>
      <c r="AG19" s="40">
        <f t="shared" si="5"/>
        <v>-1053.6374738674331</v>
      </c>
      <c r="AH19" s="40">
        <f t="shared" si="5"/>
        <v>0</v>
      </c>
      <c r="AI19" s="40">
        <f t="shared" si="5"/>
        <v>0</v>
      </c>
      <c r="AJ19" s="40">
        <f t="shared" si="5"/>
        <v>0</v>
      </c>
      <c r="AK19" s="40">
        <f t="shared" si="5"/>
        <v>0</v>
      </c>
      <c r="AL19" s="40">
        <f t="shared" si="5"/>
        <v>0</v>
      </c>
      <c r="AM19" s="40">
        <f t="shared" si="5"/>
        <v>0</v>
      </c>
      <c r="AN19" s="60"/>
      <c r="AO19" s="60"/>
      <c r="AP19" s="60"/>
    </row>
    <row r="20" spans="1:42" ht="12" customHeight="1">
      <c r="A20" s="63" t="s">
        <v>457</v>
      </c>
      <c r="B20" s="72"/>
      <c r="C20" s="40"/>
      <c r="D20" s="40">
        <f>D19</f>
        <v>-591.64398984444449</v>
      </c>
      <c r="E20" s="40">
        <f t="shared" ref="E20:AM20" si="6">D20+E19</f>
        <v>-1645.2814637118777</v>
      </c>
      <c r="F20" s="40">
        <f t="shared" si="6"/>
        <v>-2698.9189375793108</v>
      </c>
      <c r="G20" s="40">
        <f t="shared" si="6"/>
        <v>-3752.5564114467438</v>
      </c>
      <c r="H20" s="40">
        <f t="shared" si="6"/>
        <v>-4806.1938853141764</v>
      </c>
      <c r="I20" s="40">
        <f t="shared" si="6"/>
        <v>-5859.8313591816095</v>
      </c>
      <c r="J20" s="40">
        <f t="shared" si="6"/>
        <v>-6913.4688330490426</v>
      </c>
      <c r="K20" s="40">
        <f t="shared" si="6"/>
        <v>-7967.1063069164757</v>
      </c>
      <c r="L20" s="40">
        <f t="shared" si="6"/>
        <v>-9020.7437807839087</v>
      </c>
      <c r="M20" s="40">
        <f t="shared" si="6"/>
        <v>-10074.381254651342</v>
      </c>
      <c r="N20" s="40">
        <f t="shared" si="6"/>
        <v>-11128.018728518775</v>
      </c>
      <c r="O20" s="40">
        <f t="shared" si="6"/>
        <v>-12181.656202386208</v>
      </c>
      <c r="P20" s="40">
        <f t="shared" si="6"/>
        <v>-13235.293676253641</v>
      </c>
      <c r="Q20" s="40">
        <f t="shared" si="6"/>
        <v>-14288.931150121074</v>
      </c>
      <c r="R20" s="40">
        <f t="shared" si="6"/>
        <v>-15342.568623988507</v>
      </c>
      <c r="S20" s="40">
        <f t="shared" si="6"/>
        <v>-16396.206097855938</v>
      </c>
      <c r="T20" s="40">
        <f t="shared" si="6"/>
        <v>-17449.843571723373</v>
      </c>
      <c r="U20" s="40">
        <f t="shared" si="6"/>
        <v>-18503.481045590808</v>
      </c>
      <c r="V20" s="40">
        <f t="shared" si="6"/>
        <v>-19557.118519458243</v>
      </c>
      <c r="W20" s="40">
        <f t="shared" si="6"/>
        <v>-20610.755993325678</v>
      </c>
      <c r="X20" s="40">
        <f t="shared" si="6"/>
        <v>-21664.393467193113</v>
      </c>
      <c r="Y20" s="40">
        <f t="shared" si="6"/>
        <v>-22718.030941060548</v>
      </c>
      <c r="Z20" s="40">
        <f t="shared" si="6"/>
        <v>-23771.668414927983</v>
      </c>
      <c r="AA20" s="40">
        <f t="shared" si="6"/>
        <v>-24825.305888795418</v>
      </c>
      <c r="AB20" s="40">
        <f t="shared" si="6"/>
        <v>-25878.943362662852</v>
      </c>
      <c r="AC20" s="40">
        <f t="shared" si="6"/>
        <v>-26932.580836530287</v>
      </c>
      <c r="AD20" s="40">
        <f t="shared" si="6"/>
        <v>-27986.218310397722</v>
      </c>
      <c r="AE20" s="40">
        <f t="shared" si="6"/>
        <v>-29039.855784265157</v>
      </c>
      <c r="AF20" s="40">
        <f t="shared" si="6"/>
        <v>-30093.493258132592</v>
      </c>
      <c r="AG20" s="40">
        <f t="shared" si="6"/>
        <v>-31147.130732000027</v>
      </c>
      <c r="AH20" s="40">
        <f t="shared" si="6"/>
        <v>-31147.130732000027</v>
      </c>
      <c r="AI20" s="40">
        <f t="shared" si="6"/>
        <v>-31147.130732000027</v>
      </c>
      <c r="AJ20" s="40">
        <f t="shared" si="6"/>
        <v>-31147.130732000027</v>
      </c>
      <c r="AK20" s="40">
        <f t="shared" si="6"/>
        <v>-31147.130732000027</v>
      </c>
      <c r="AL20" s="40">
        <f t="shared" si="6"/>
        <v>-31147.130732000027</v>
      </c>
      <c r="AM20" s="40">
        <f t="shared" si="6"/>
        <v>-31147.130732000027</v>
      </c>
      <c r="AN20" s="60"/>
      <c r="AO20" s="60"/>
      <c r="AP20" s="60"/>
    </row>
    <row r="21" spans="1:42" ht="12" customHeight="1">
      <c r="A21" s="120" t="s">
        <v>452</v>
      </c>
      <c r="B21" s="72"/>
      <c r="C21" s="33"/>
      <c r="D21" s="62">
        <f t="shared" ref="D21:AM21" si="7">D18+D20</f>
        <v>28897.444801884045</v>
      </c>
      <c r="E21" s="62">
        <f t="shared" si="7"/>
        <v>35827.974846349942</v>
      </c>
      <c r="F21" s="62">
        <f t="shared" si="7"/>
        <v>34774.337372482507</v>
      </c>
      <c r="G21" s="62">
        <f t="shared" si="7"/>
        <v>33720.699898615079</v>
      </c>
      <c r="H21" s="62">
        <f t="shared" si="7"/>
        <v>32667.062424747644</v>
      </c>
      <c r="I21" s="62">
        <f t="shared" si="7"/>
        <v>31613.42495088021</v>
      </c>
      <c r="J21" s="62">
        <f t="shared" si="7"/>
        <v>30559.787477012778</v>
      </c>
      <c r="K21" s="62">
        <f t="shared" si="7"/>
        <v>29506.150003145347</v>
      </c>
      <c r="L21" s="62">
        <f t="shared" si="7"/>
        <v>28452.512529277912</v>
      </c>
      <c r="M21" s="62">
        <f t="shared" si="7"/>
        <v>27398.875055410477</v>
      </c>
      <c r="N21" s="62">
        <f t="shared" si="7"/>
        <v>26345.237581543046</v>
      </c>
      <c r="O21" s="62">
        <f t="shared" si="7"/>
        <v>25291.600107675615</v>
      </c>
      <c r="P21" s="62">
        <f t="shared" si="7"/>
        <v>24237.96263380818</v>
      </c>
      <c r="Q21" s="62">
        <f t="shared" si="7"/>
        <v>23184.325159940745</v>
      </c>
      <c r="R21" s="62">
        <f t="shared" si="7"/>
        <v>22130.687686073314</v>
      </c>
      <c r="S21" s="62">
        <f t="shared" si="7"/>
        <v>21077.050212205882</v>
      </c>
      <c r="T21" s="62">
        <f t="shared" si="7"/>
        <v>20023.412738338448</v>
      </c>
      <c r="U21" s="62">
        <f t="shared" si="7"/>
        <v>18969.775264471013</v>
      </c>
      <c r="V21" s="62">
        <f t="shared" si="7"/>
        <v>17916.137790603578</v>
      </c>
      <c r="W21" s="62">
        <f t="shared" si="7"/>
        <v>16862.500316736143</v>
      </c>
      <c r="X21" s="62">
        <f t="shared" si="7"/>
        <v>15808.862842868708</v>
      </c>
      <c r="Y21" s="62">
        <f t="shared" si="7"/>
        <v>14755.225369001273</v>
      </c>
      <c r="Z21" s="62">
        <f t="shared" si="7"/>
        <v>13701.587895133838</v>
      </c>
      <c r="AA21" s="62">
        <f t="shared" si="7"/>
        <v>12647.950421266403</v>
      </c>
      <c r="AB21" s="62">
        <f t="shared" si="7"/>
        <v>11594.312947398968</v>
      </c>
      <c r="AC21" s="62">
        <f t="shared" si="7"/>
        <v>10540.675473531533</v>
      </c>
      <c r="AD21" s="62">
        <f t="shared" si="7"/>
        <v>9487.0379996640986</v>
      </c>
      <c r="AE21" s="62">
        <f t="shared" si="7"/>
        <v>8433.4005257966637</v>
      </c>
      <c r="AF21" s="62">
        <f t="shared" si="7"/>
        <v>7379.7630519292288</v>
      </c>
      <c r="AG21" s="62">
        <f t="shared" si="7"/>
        <v>6326.1255780617939</v>
      </c>
      <c r="AH21" s="62">
        <f t="shared" si="7"/>
        <v>6326.1255780617939</v>
      </c>
      <c r="AI21" s="62">
        <f t="shared" si="7"/>
        <v>6326.1255780617939</v>
      </c>
      <c r="AJ21" s="62">
        <f t="shared" si="7"/>
        <v>6326.1255780617939</v>
      </c>
      <c r="AK21" s="62">
        <f t="shared" si="7"/>
        <v>6326.1255780617939</v>
      </c>
      <c r="AL21" s="62">
        <f t="shared" si="7"/>
        <v>6326.1255780617939</v>
      </c>
      <c r="AM21" s="62">
        <f t="shared" si="7"/>
        <v>6326.1255780617939</v>
      </c>
      <c r="AN21" s="60"/>
      <c r="AO21" s="60"/>
      <c r="AP21" s="60"/>
    </row>
    <row r="22" spans="1:42" ht="12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</row>
    <row r="23" spans="1:42" ht="12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</row>
    <row r="24" spans="1:42" ht="12" customHeight="1">
      <c r="A24" s="60"/>
      <c r="B24" s="60"/>
      <c r="C24" s="121" t="s">
        <v>458</v>
      </c>
      <c r="D24" s="60">
        <v>1</v>
      </c>
      <c r="E24" s="60">
        <v>2</v>
      </c>
      <c r="F24" s="60">
        <v>3</v>
      </c>
      <c r="G24" s="60">
        <v>4</v>
      </c>
      <c r="H24" s="60">
        <v>5</v>
      </c>
      <c r="I24" s="60">
        <v>6</v>
      </c>
      <c r="J24" s="60">
        <v>7</v>
      </c>
      <c r="K24" s="60">
        <v>8</v>
      </c>
      <c r="L24" s="60">
        <v>9</v>
      </c>
      <c r="M24" s="60">
        <v>10</v>
      </c>
      <c r="N24" s="60">
        <v>11</v>
      </c>
      <c r="O24" s="60">
        <v>12</v>
      </c>
      <c r="P24" s="60">
        <v>13</v>
      </c>
      <c r="Q24" s="60">
        <v>14</v>
      </c>
      <c r="R24" s="60">
        <v>15</v>
      </c>
      <c r="S24" s="60">
        <v>16</v>
      </c>
      <c r="T24" s="60">
        <v>17</v>
      </c>
      <c r="U24" s="60">
        <v>18</v>
      </c>
      <c r="V24" s="60">
        <v>19</v>
      </c>
      <c r="W24" s="60">
        <v>20</v>
      </c>
      <c r="X24" s="60">
        <v>21</v>
      </c>
      <c r="Y24" s="60">
        <v>22</v>
      </c>
      <c r="Z24" s="60">
        <v>23</v>
      </c>
      <c r="AA24" s="60">
        <v>24</v>
      </c>
      <c r="AB24" s="60">
        <v>25</v>
      </c>
      <c r="AC24" s="60">
        <v>26</v>
      </c>
      <c r="AD24" s="60">
        <v>27</v>
      </c>
      <c r="AE24" s="60">
        <v>28</v>
      </c>
      <c r="AF24" s="60">
        <v>29</v>
      </c>
      <c r="AG24" s="60">
        <v>30</v>
      </c>
      <c r="AH24" s="60">
        <v>31</v>
      </c>
      <c r="AI24" s="60">
        <v>32</v>
      </c>
      <c r="AJ24" s="60">
        <v>33</v>
      </c>
      <c r="AK24" s="60">
        <v>34</v>
      </c>
      <c r="AL24" s="60">
        <v>35</v>
      </c>
      <c r="AM24" s="60">
        <v>36</v>
      </c>
      <c r="AN24" s="60"/>
      <c r="AO24" s="60"/>
      <c r="AP24" s="60"/>
    </row>
    <row r="25" spans="1:42" ht="12" customHeight="1">
      <c r="A25" s="60"/>
      <c r="B25" s="60"/>
      <c r="C25" s="122">
        <v>30</v>
      </c>
      <c r="D25" s="60">
        <f t="shared" ref="D25:AM25" si="8">12*D$3</f>
        <v>12</v>
      </c>
      <c r="E25" s="60">
        <f t="shared" si="8"/>
        <v>12</v>
      </c>
      <c r="F25" s="60">
        <f t="shared" si="8"/>
        <v>12</v>
      </c>
      <c r="G25" s="60">
        <f t="shared" si="8"/>
        <v>12</v>
      </c>
      <c r="H25" s="60">
        <f t="shared" si="8"/>
        <v>12</v>
      </c>
      <c r="I25" s="60">
        <f t="shared" si="8"/>
        <v>12</v>
      </c>
      <c r="J25" s="60">
        <f t="shared" si="8"/>
        <v>12</v>
      </c>
      <c r="K25" s="60">
        <f t="shared" si="8"/>
        <v>12</v>
      </c>
      <c r="L25" s="60">
        <f t="shared" si="8"/>
        <v>12</v>
      </c>
      <c r="M25" s="60">
        <f t="shared" si="8"/>
        <v>12</v>
      </c>
      <c r="N25" s="60">
        <f t="shared" si="8"/>
        <v>12</v>
      </c>
      <c r="O25" s="60">
        <f t="shared" si="8"/>
        <v>12</v>
      </c>
      <c r="P25" s="60">
        <f t="shared" si="8"/>
        <v>12</v>
      </c>
      <c r="Q25" s="60">
        <f t="shared" si="8"/>
        <v>12</v>
      </c>
      <c r="R25" s="60">
        <f t="shared" si="8"/>
        <v>12</v>
      </c>
      <c r="S25" s="60">
        <f t="shared" si="8"/>
        <v>12</v>
      </c>
      <c r="T25" s="60">
        <f t="shared" si="8"/>
        <v>12</v>
      </c>
      <c r="U25" s="60">
        <f t="shared" si="8"/>
        <v>12</v>
      </c>
      <c r="V25" s="60">
        <f t="shared" si="8"/>
        <v>12</v>
      </c>
      <c r="W25" s="60">
        <f t="shared" si="8"/>
        <v>12</v>
      </c>
      <c r="X25" s="60">
        <f t="shared" si="8"/>
        <v>12</v>
      </c>
      <c r="Y25" s="60">
        <f t="shared" si="8"/>
        <v>12</v>
      </c>
      <c r="Z25" s="60">
        <f t="shared" si="8"/>
        <v>12</v>
      </c>
      <c r="AA25" s="60">
        <f t="shared" si="8"/>
        <v>12</v>
      </c>
      <c r="AB25" s="60">
        <f t="shared" si="8"/>
        <v>12</v>
      </c>
      <c r="AC25" s="60">
        <f t="shared" si="8"/>
        <v>12</v>
      </c>
      <c r="AD25" s="60">
        <f t="shared" si="8"/>
        <v>12</v>
      </c>
      <c r="AE25" s="60">
        <f t="shared" si="8"/>
        <v>12</v>
      </c>
      <c r="AF25" s="60">
        <f t="shared" si="8"/>
        <v>12</v>
      </c>
      <c r="AG25" s="60">
        <f t="shared" si="8"/>
        <v>12</v>
      </c>
      <c r="AH25" s="60">
        <f t="shared" si="8"/>
        <v>0</v>
      </c>
      <c r="AI25" s="60">
        <f t="shared" si="8"/>
        <v>0</v>
      </c>
      <c r="AJ25" s="60">
        <f t="shared" si="8"/>
        <v>0</v>
      </c>
      <c r="AK25" s="60">
        <f t="shared" si="8"/>
        <v>0</v>
      </c>
      <c r="AL25" s="60">
        <f t="shared" si="8"/>
        <v>0</v>
      </c>
      <c r="AM25" s="60">
        <f t="shared" si="8"/>
        <v>0</v>
      </c>
      <c r="AN25" s="60"/>
      <c r="AO25" s="60"/>
      <c r="AP25" s="60"/>
    </row>
    <row r="26" spans="1:42" ht="12" customHeight="1">
      <c r="A26" s="60"/>
      <c r="B26" s="60"/>
      <c r="C26" s="121"/>
      <c r="D26" s="60">
        <f t="shared" ref="D26:AM26" si="9">SUM(D25:$AL25)</f>
        <v>360</v>
      </c>
      <c r="E26" s="60">
        <f t="shared" si="9"/>
        <v>348</v>
      </c>
      <c r="F26" s="60">
        <f t="shared" si="9"/>
        <v>336</v>
      </c>
      <c r="G26" s="60">
        <f t="shared" si="9"/>
        <v>324</v>
      </c>
      <c r="H26" s="60">
        <f t="shared" si="9"/>
        <v>312</v>
      </c>
      <c r="I26" s="60">
        <f t="shared" si="9"/>
        <v>300</v>
      </c>
      <c r="J26" s="60">
        <f t="shared" si="9"/>
        <v>288</v>
      </c>
      <c r="K26" s="60">
        <f t="shared" si="9"/>
        <v>276</v>
      </c>
      <c r="L26" s="60">
        <f t="shared" si="9"/>
        <v>264</v>
      </c>
      <c r="M26" s="60">
        <f t="shared" si="9"/>
        <v>252</v>
      </c>
      <c r="N26" s="60">
        <f t="shared" si="9"/>
        <v>240</v>
      </c>
      <c r="O26" s="60">
        <f t="shared" si="9"/>
        <v>228</v>
      </c>
      <c r="P26" s="60">
        <f t="shared" si="9"/>
        <v>216</v>
      </c>
      <c r="Q26" s="60">
        <f t="shared" si="9"/>
        <v>204</v>
      </c>
      <c r="R26" s="60">
        <f t="shared" si="9"/>
        <v>192</v>
      </c>
      <c r="S26" s="60">
        <f t="shared" si="9"/>
        <v>180</v>
      </c>
      <c r="T26" s="60">
        <f t="shared" si="9"/>
        <v>168</v>
      </c>
      <c r="U26" s="60">
        <f t="shared" si="9"/>
        <v>156</v>
      </c>
      <c r="V26" s="60">
        <f t="shared" si="9"/>
        <v>144</v>
      </c>
      <c r="W26" s="60">
        <f t="shared" si="9"/>
        <v>132</v>
      </c>
      <c r="X26" s="60">
        <f t="shared" si="9"/>
        <v>120</v>
      </c>
      <c r="Y26" s="60">
        <f t="shared" si="9"/>
        <v>108</v>
      </c>
      <c r="Z26" s="60">
        <f t="shared" si="9"/>
        <v>96</v>
      </c>
      <c r="AA26" s="60">
        <f t="shared" si="9"/>
        <v>84</v>
      </c>
      <c r="AB26" s="60">
        <f t="shared" si="9"/>
        <v>72</v>
      </c>
      <c r="AC26" s="60">
        <f t="shared" si="9"/>
        <v>60</v>
      </c>
      <c r="AD26" s="60">
        <f t="shared" si="9"/>
        <v>48</v>
      </c>
      <c r="AE26" s="60">
        <f t="shared" si="9"/>
        <v>36</v>
      </c>
      <c r="AF26" s="60">
        <f t="shared" si="9"/>
        <v>24</v>
      </c>
      <c r="AG26" s="60">
        <f t="shared" si="9"/>
        <v>12</v>
      </c>
      <c r="AH26" s="60">
        <f t="shared" si="9"/>
        <v>0</v>
      </c>
      <c r="AI26" s="60">
        <f t="shared" si="9"/>
        <v>0</v>
      </c>
      <c r="AJ26" s="60">
        <f t="shared" si="9"/>
        <v>0</v>
      </c>
      <c r="AK26" s="60">
        <f t="shared" si="9"/>
        <v>0</v>
      </c>
      <c r="AL26" s="60">
        <f t="shared" si="9"/>
        <v>0</v>
      </c>
      <c r="AM26" s="60">
        <f t="shared" si="9"/>
        <v>0</v>
      </c>
      <c r="AN26" s="60"/>
      <c r="AO26" s="60"/>
      <c r="AP26" s="60"/>
    </row>
    <row r="27" spans="1:42" ht="12" customHeight="1">
      <c r="A27" s="123"/>
      <c r="B27" s="124" t="s">
        <v>459</v>
      </c>
      <c r="C27" s="125"/>
      <c r="D27" s="119">
        <f>SUMIF(CAPEX!$B$12:$B$16,Amt!$C$25,CAPEX!E$12:E$16)</f>
        <v>8874.6598476666677</v>
      </c>
      <c r="E27" s="119">
        <f>SUMIF(CAPEX!$B$12:$B$16,Amt!$C$25,CAPEX!F$12:F$16)</f>
        <v>6698.9055183333339</v>
      </c>
      <c r="F27" s="119">
        <f>SUMIF(CAPEX!$B$12:$B$16,Amt!$C$25,CAPEX!G$12:G$16)</f>
        <v>0</v>
      </c>
      <c r="G27" s="119">
        <f>SUMIF(CAPEX!$B$12:$B$16,Amt!$C$25,CAPEX!H$12:H$16)</f>
        <v>0</v>
      </c>
      <c r="H27" s="119">
        <f>SUMIF(CAPEX!$B$12:$B$16,Amt!$C$25,CAPEX!I$12:I$16)</f>
        <v>0</v>
      </c>
      <c r="I27" s="119">
        <f>SUMIF(CAPEX!$B$12:$B$16,Amt!$C$25,CAPEX!J$12:J$16)</f>
        <v>0</v>
      </c>
      <c r="J27" s="119">
        <f>SUMIF(CAPEX!$B$12:$B$16,Amt!$C$25,CAPEX!K$12:K$16)</f>
        <v>0</v>
      </c>
      <c r="K27" s="119">
        <f>SUMIF(CAPEX!$B$12:$B$16,Amt!$C$25,CAPEX!L$12:L$16)</f>
        <v>0</v>
      </c>
      <c r="L27" s="119">
        <f>SUMIF(CAPEX!$B$12:$B$16,Amt!$C$25,CAPEX!M$12:M$16)</f>
        <v>0</v>
      </c>
      <c r="M27" s="119">
        <f>SUMIF(CAPEX!$B$12:$B$16,Amt!$C$25,CAPEX!N$12:N$16)</f>
        <v>0</v>
      </c>
      <c r="N27" s="119">
        <f>SUMIF(CAPEX!$B$12:$B$16,Amt!$C$25,CAPEX!O$12:O$16)</f>
        <v>0</v>
      </c>
      <c r="O27" s="119">
        <f>SUMIF(CAPEX!$B$12:$B$16,Amt!$C$25,CAPEX!P$12:P$16)</f>
        <v>0</v>
      </c>
      <c r="P27" s="119">
        <f>SUMIF(CAPEX!$B$12:$B$16,Amt!$C$25,CAPEX!Q$12:Q$16)</f>
        <v>0</v>
      </c>
      <c r="Q27" s="119">
        <f>SUMIF(CAPEX!$B$12:$B$16,Amt!$C$25,CAPEX!R$12:R$16)</f>
        <v>0</v>
      </c>
      <c r="R27" s="119">
        <f>SUMIF(CAPEX!$B$12:$B$16,Amt!$C$25,CAPEX!S$12:S$16)</f>
        <v>0</v>
      </c>
      <c r="S27" s="119">
        <f>SUMIF(CAPEX!$B$12:$B$16,Amt!$C$25,CAPEX!T$12:T$16)</f>
        <v>0</v>
      </c>
      <c r="T27" s="119">
        <f>SUMIF(CAPEX!$B$12:$B$16,Amt!$C$25,CAPEX!U$12:U$16)</f>
        <v>0</v>
      </c>
      <c r="U27" s="119">
        <f>SUMIF(CAPEX!$B$12:$B$16,Amt!$C$25,CAPEX!V$12:V$16)</f>
        <v>0</v>
      </c>
      <c r="V27" s="119">
        <f>SUMIF(CAPEX!$B$12:$B$16,Amt!$C$25,CAPEX!W$12:W$16)</f>
        <v>0</v>
      </c>
      <c r="W27" s="119">
        <f>SUMIF(CAPEX!$B$12:$B$16,Amt!$C$25,CAPEX!X$12:X$16)</f>
        <v>0</v>
      </c>
      <c r="X27" s="119">
        <f>SUMIF(CAPEX!$B$12:$B$16,Amt!$C$25,CAPEX!Y$12:Y$16)</f>
        <v>0</v>
      </c>
      <c r="Y27" s="119">
        <f>SUMIF(CAPEX!$B$12:$B$16,Amt!$C$25,CAPEX!Z$12:Z$16)</f>
        <v>0</v>
      </c>
      <c r="Z27" s="119">
        <f>SUMIF(CAPEX!$B$12:$B$16,Amt!$C$25,CAPEX!AA$12:AA$16)</f>
        <v>0</v>
      </c>
      <c r="AA27" s="119">
        <f>SUMIF(CAPEX!$B$12:$B$16,Amt!$C$25,CAPEX!AB$12:AB$16)</f>
        <v>0</v>
      </c>
      <c r="AB27" s="119">
        <f>SUMIF(CAPEX!$B$12:$B$16,Amt!$C$25,CAPEX!AC$12:AC$16)</f>
        <v>0</v>
      </c>
      <c r="AC27" s="119">
        <f>SUMIF(CAPEX!$B$12:$B$16,Amt!$C$25,CAPEX!AD$12:AD$16)</f>
        <v>0</v>
      </c>
      <c r="AD27" s="119">
        <f>SUMIF(CAPEX!$B$12:$B$16,Amt!$C$25,CAPEX!AE$12:AE$16)</f>
        <v>0</v>
      </c>
      <c r="AE27" s="119">
        <f>SUMIF(CAPEX!$B$12:$B$16,Amt!$C$25,CAPEX!AF$12:AF$16)</f>
        <v>0</v>
      </c>
      <c r="AF27" s="119">
        <f>SUMIF(CAPEX!$B$12:$B$16,Amt!$C$25,CAPEX!AG$12:AG$16)</f>
        <v>0</v>
      </c>
      <c r="AG27" s="119">
        <f>SUMIF(CAPEX!$B$12:$B$16,Amt!$C$25,CAPEX!AH$12:AH$16)</f>
        <v>0</v>
      </c>
      <c r="AH27" s="119">
        <f>SUMIF(CAPEX!$B$12:$B$16,Amt!$C$25,CAPEX!AI$12:AI$16)</f>
        <v>0</v>
      </c>
      <c r="AI27" s="119">
        <f>SUMIF(CAPEX!$B$12:$B$16,Amt!$C$25,CAPEX!AJ$12:AJ$16)</f>
        <v>0</v>
      </c>
      <c r="AJ27" s="119">
        <f>SUMIF(CAPEX!$B$12:$B$16,Amt!$C$25,CAPEX!AK$12:AK$16)</f>
        <v>0</v>
      </c>
      <c r="AK27" s="119">
        <f>SUMIF(CAPEX!$B$12:$B$16,Amt!$C$25,CAPEX!AL$12:AL$16)</f>
        <v>0</v>
      </c>
      <c r="AL27" s="119">
        <f>SUMIF(CAPEX!$B$12:$B$16,Amt!$C$25,CAPEX!AM$12:AM$16)</f>
        <v>0</v>
      </c>
      <c r="AM27" s="119">
        <f>SUMIF(CAPEX!$B$12:$B$16,Amt!$C$25,CAPEX!AN$12:AN$16)</f>
        <v>0</v>
      </c>
      <c r="AN27" s="60"/>
      <c r="AO27" s="60"/>
      <c r="AP27" s="60"/>
    </row>
    <row r="28" spans="1:42" ht="12" customHeight="1">
      <c r="A28" s="60"/>
      <c r="B28" s="124" t="s">
        <v>124</v>
      </c>
      <c r="C28" s="125"/>
      <c r="D28" s="119">
        <f t="shared" ref="D28:AM28" si="10">SUM(D29:D63)</f>
        <v>295.82199492222225</v>
      </c>
      <c r="E28" s="119">
        <f t="shared" si="10"/>
        <v>526.81873693371654</v>
      </c>
      <c r="F28" s="119">
        <f t="shared" si="10"/>
        <v>526.81873693371654</v>
      </c>
      <c r="G28" s="119">
        <f t="shared" si="10"/>
        <v>526.81873693371654</v>
      </c>
      <c r="H28" s="119">
        <f t="shared" si="10"/>
        <v>526.81873693371654</v>
      </c>
      <c r="I28" s="119">
        <f t="shared" si="10"/>
        <v>526.81873693371654</v>
      </c>
      <c r="J28" s="119">
        <f t="shared" si="10"/>
        <v>526.81873693371654</v>
      </c>
      <c r="K28" s="119">
        <f t="shared" si="10"/>
        <v>526.81873693371654</v>
      </c>
      <c r="L28" s="119">
        <f t="shared" si="10"/>
        <v>526.81873693371654</v>
      </c>
      <c r="M28" s="119">
        <f t="shared" si="10"/>
        <v>526.81873693371654</v>
      </c>
      <c r="N28" s="119">
        <f t="shared" si="10"/>
        <v>526.81873693371654</v>
      </c>
      <c r="O28" s="119">
        <f t="shared" si="10"/>
        <v>526.81873693371654</v>
      </c>
      <c r="P28" s="119">
        <f t="shared" si="10"/>
        <v>526.81873693371654</v>
      </c>
      <c r="Q28" s="119">
        <f t="shared" si="10"/>
        <v>526.81873693371654</v>
      </c>
      <c r="R28" s="119">
        <f t="shared" si="10"/>
        <v>526.81873693371654</v>
      </c>
      <c r="S28" s="119">
        <f t="shared" si="10"/>
        <v>526.81873693371654</v>
      </c>
      <c r="T28" s="119">
        <f t="shared" si="10"/>
        <v>526.81873693371654</v>
      </c>
      <c r="U28" s="119">
        <f t="shared" si="10"/>
        <v>526.81873693371654</v>
      </c>
      <c r="V28" s="119">
        <f t="shared" si="10"/>
        <v>526.81873693371654</v>
      </c>
      <c r="W28" s="119">
        <f t="shared" si="10"/>
        <v>526.81873693371654</v>
      </c>
      <c r="X28" s="119">
        <f t="shared" si="10"/>
        <v>526.81873693371654</v>
      </c>
      <c r="Y28" s="119">
        <f t="shared" si="10"/>
        <v>526.81873693371654</v>
      </c>
      <c r="Z28" s="119">
        <f t="shared" si="10"/>
        <v>526.81873693371654</v>
      </c>
      <c r="AA28" s="119">
        <f t="shared" si="10"/>
        <v>526.81873693371654</v>
      </c>
      <c r="AB28" s="119">
        <f t="shared" si="10"/>
        <v>526.81873693371654</v>
      </c>
      <c r="AC28" s="119">
        <f t="shared" si="10"/>
        <v>526.81873693371654</v>
      </c>
      <c r="AD28" s="119">
        <f t="shared" si="10"/>
        <v>526.81873693371654</v>
      </c>
      <c r="AE28" s="119">
        <f t="shared" si="10"/>
        <v>526.81873693371654</v>
      </c>
      <c r="AF28" s="119">
        <f t="shared" si="10"/>
        <v>526.81873693371654</v>
      </c>
      <c r="AG28" s="119">
        <f t="shared" si="10"/>
        <v>526.81873693371654</v>
      </c>
      <c r="AH28" s="119">
        <f t="shared" si="10"/>
        <v>0</v>
      </c>
      <c r="AI28" s="119">
        <f t="shared" si="10"/>
        <v>0</v>
      </c>
      <c r="AJ28" s="119">
        <f t="shared" si="10"/>
        <v>0</v>
      </c>
      <c r="AK28" s="119">
        <f t="shared" si="10"/>
        <v>0</v>
      </c>
      <c r="AL28" s="119">
        <f t="shared" si="10"/>
        <v>0</v>
      </c>
      <c r="AM28" s="119">
        <f t="shared" si="10"/>
        <v>0</v>
      </c>
      <c r="AN28" s="60"/>
      <c r="AO28" s="60"/>
      <c r="AP28" s="60"/>
    </row>
    <row r="29" spans="1:42" ht="12" customHeight="1" outlineLevel="1">
      <c r="A29" s="84">
        <v>1</v>
      </c>
      <c r="B29" s="60">
        <f>$D$1</f>
        <v>2025</v>
      </c>
      <c r="C29" s="34">
        <f t="array" ref="C29:C64">TRANSPOSE(D27:AM27)</f>
        <v>8874.6598476666677</v>
      </c>
      <c r="D29" s="87">
        <f>IF(D$26,MIN($C29,MAX($C29/$C$25,$C29/(D$26/12))),0)</f>
        <v>295.82199492222225</v>
      </c>
      <c r="E29" s="84">
        <f t="shared" ref="E29:AM29" si="11">IF(AND(E$24-$A29&lt;$C$25,E$26&gt;0),D29*(E$25/12),0)</f>
        <v>295.82199492222225</v>
      </c>
      <c r="F29" s="84">
        <f t="shared" si="11"/>
        <v>295.82199492222225</v>
      </c>
      <c r="G29" s="84">
        <f t="shared" si="11"/>
        <v>295.82199492222225</v>
      </c>
      <c r="H29" s="84">
        <f t="shared" si="11"/>
        <v>295.82199492222225</v>
      </c>
      <c r="I29" s="84">
        <f t="shared" si="11"/>
        <v>295.82199492222225</v>
      </c>
      <c r="J29" s="84">
        <f t="shared" si="11"/>
        <v>295.82199492222225</v>
      </c>
      <c r="K29" s="84">
        <f t="shared" si="11"/>
        <v>295.82199492222225</v>
      </c>
      <c r="L29" s="84">
        <f t="shared" si="11"/>
        <v>295.82199492222225</v>
      </c>
      <c r="M29" s="84">
        <f t="shared" si="11"/>
        <v>295.82199492222225</v>
      </c>
      <c r="N29" s="84">
        <f t="shared" si="11"/>
        <v>295.82199492222225</v>
      </c>
      <c r="O29" s="84">
        <f t="shared" si="11"/>
        <v>295.82199492222225</v>
      </c>
      <c r="P29" s="84">
        <f t="shared" si="11"/>
        <v>295.82199492222225</v>
      </c>
      <c r="Q29" s="84">
        <f t="shared" si="11"/>
        <v>295.82199492222225</v>
      </c>
      <c r="R29" s="84">
        <f t="shared" si="11"/>
        <v>295.82199492222225</v>
      </c>
      <c r="S29" s="84">
        <f t="shared" si="11"/>
        <v>295.82199492222225</v>
      </c>
      <c r="T29" s="84">
        <f t="shared" si="11"/>
        <v>295.82199492222225</v>
      </c>
      <c r="U29" s="84">
        <f t="shared" si="11"/>
        <v>295.82199492222225</v>
      </c>
      <c r="V29" s="84">
        <f t="shared" si="11"/>
        <v>295.82199492222225</v>
      </c>
      <c r="W29" s="84">
        <f t="shared" si="11"/>
        <v>295.82199492222225</v>
      </c>
      <c r="X29" s="84">
        <f t="shared" si="11"/>
        <v>295.82199492222225</v>
      </c>
      <c r="Y29" s="84">
        <f t="shared" si="11"/>
        <v>295.82199492222225</v>
      </c>
      <c r="Z29" s="84">
        <f t="shared" si="11"/>
        <v>295.82199492222225</v>
      </c>
      <c r="AA29" s="84">
        <f t="shared" si="11"/>
        <v>295.82199492222225</v>
      </c>
      <c r="AB29" s="84">
        <f t="shared" si="11"/>
        <v>295.82199492222225</v>
      </c>
      <c r="AC29" s="84">
        <f t="shared" si="11"/>
        <v>295.82199492222225</v>
      </c>
      <c r="AD29" s="84">
        <f t="shared" si="11"/>
        <v>295.82199492222225</v>
      </c>
      <c r="AE29" s="84">
        <f t="shared" si="11"/>
        <v>295.82199492222225</v>
      </c>
      <c r="AF29" s="84">
        <f t="shared" si="11"/>
        <v>295.82199492222225</v>
      </c>
      <c r="AG29" s="84">
        <f t="shared" si="11"/>
        <v>295.82199492222225</v>
      </c>
      <c r="AH29" s="84">
        <f t="shared" si="11"/>
        <v>0</v>
      </c>
      <c r="AI29" s="84">
        <f t="shared" si="11"/>
        <v>0</v>
      </c>
      <c r="AJ29" s="84">
        <f t="shared" si="11"/>
        <v>0</v>
      </c>
      <c r="AK29" s="84">
        <f t="shared" si="11"/>
        <v>0</v>
      </c>
      <c r="AL29" s="84">
        <f t="shared" si="11"/>
        <v>0</v>
      </c>
      <c r="AM29" s="84">
        <f t="shared" si="11"/>
        <v>0</v>
      </c>
      <c r="AN29" s="60"/>
      <c r="AO29" s="126">
        <f t="shared" ref="AO29:AO64" si="12">SUM(D29:AM29)</f>
        <v>8874.6598476666641</v>
      </c>
      <c r="AP29" s="127" t="b">
        <f t="shared" ref="AP29:AP65" si="13">AO29=C29</f>
        <v>0</v>
      </c>
    </row>
    <row r="30" spans="1:42" ht="12" customHeight="1" outlineLevel="1">
      <c r="A30" s="84">
        <v>2</v>
      </c>
      <c r="B30" s="60">
        <f t="shared" ref="B30:B64" si="14">B29+1</f>
        <v>2026</v>
      </c>
      <c r="C30" s="34">
        <v>6698.9055183333339</v>
      </c>
      <c r="D30" s="60"/>
      <c r="E30" s="87">
        <f>IF(E$26,MIN($C30,MAX($C30/$C$25,$C30/(E$26/12))),0)</f>
        <v>230.99674201149426</v>
      </c>
      <c r="F30" s="84">
        <f t="shared" ref="F30:AM30" si="15">IF(AND(F$24-$A30&lt;$C$25,F$26&gt;0),E30*(F$25/12),0)</f>
        <v>230.99674201149426</v>
      </c>
      <c r="G30" s="84">
        <f t="shared" si="15"/>
        <v>230.99674201149426</v>
      </c>
      <c r="H30" s="84">
        <f t="shared" si="15"/>
        <v>230.99674201149426</v>
      </c>
      <c r="I30" s="84">
        <f t="shared" si="15"/>
        <v>230.99674201149426</v>
      </c>
      <c r="J30" s="84">
        <f t="shared" si="15"/>
        <v>230.99674201149426</v>
      </c>
      <c r="K30" s="84">
        <f t="shared" si="15"/>
        <v>230.99674201149426</v>
      </c>
      <c r="L30" s="84">
        <f t="shared" si="15"/>
        <v>230.99674201149426</v>
      </c>
      <c r="M30" s="84">
        <f t="shared" si="15"/>
        <v>230.99674201149426</v>
      </c>
      <c r="N30" s="84">
        <f t="shared" si="15"/>
        <v>230.99674201149426</v>
      </c>
      <c r="O30" s="84">
        <f t="shared" si="15"/>
        <v>230.99674201149426</v>
      </c>
      <c r="P30" s="84">
        <f t="shared" si="15"/>
        <v>230.99674201149426</v>
      </c>
      <c r="Q30" s="84">
        <f t="shared" si="15"/>
        <v>230.99674201149426</v>
      </c>
      <c r="R30" s="84">
        <f t="shared" si="15"/>
        <v>230.99674201149426</v>
      </c>
      <c r="S30" s="84">
        <f t="shared" si="15"/>
        <v>230.99674201149426</v>
      </c>
      <c r="T30" s="84">
        <f t="shared" si="15"/>
        <v>230.99674201149426</v>
      </c>
      <c r="U30" s="84">
        <f t="shared" si="15"/>
        <v>230.99674201149426</v>
      </c>
      <c r="V30" s="84">
        <f t="shared" si="15"/>
        <v>230.99674201149426</v>
      </c>
      <c r="W30" s="84">
        <f t="shared" si="15"/>
        <v>230.99674201149426</v>
      </c>
      <c r="X30" s="84">
        <f t="shared" si="15"/>
        <v>230.99674201149426</v>
      </c>
      <c r="Y30" s="84">
        <f t="shared" si="15"/>
        <v>230.99674201149426</v>
      </c>
      <c r="Z30" s="84">
        <f t="shared" si="15"/>
        <v>230.99674201149426</v>
      </c>
      <c r="AA30" s="84">
        <f t="shared" si="15"/>
        <v>230.99674201149426</v>
      </c>
      <c r="AB30" s="84">
        <f t="shared" si="15"/>
        <v>230.99674201149426</v>
      </c>
      <c r="AC30" s="84">
        <f t="shared" si="15"/>
        <v>230.99674201149426</v>
      </c>
      <c r="AD30" s="84">
        <f t="shared" si="15"/>
        <v>230.99674201149426</v>
      </c>
      <c r="AE30" s="84">
        <f t="shared" si="15"/>
        <v>230.99674201149426</v>
      </c>
      <c r="AF30" s="84">
        <f t="shared" si="15"/>
        <v>230.99674201149426</v>
      </c>
      <c r="AG30" s="84">
        <f t="shared" si="15"/>
        <v>230.99674201149426</v>
      </c>
      <c r="AH30" s="84">
        <f t="shared" si="15"/>
        <v>0</v>
      </c>
      <c r="AI30" s="84">
        <f t="shared" si="15"/>
        <v>0</v>
      </c>
      <c r="AJ30" s="84">
        <f t="shared" si="15"/>
        <v>0</v>
      </c>
      <c r="AK30" s="84">
        <f t="shared" si="15"/>
        <v>0</v>
      </c>
      <c r="AL30" s="84">
        <f t="shared" si="15"/>
        <v>0</v>
      </c>
      <c r="AM30" s="84">
        <f t="shared" si="15"/>
        <v>0</v>
      </c>
      <c r="AN30" s="60"/>
      <c r="AO30" s="87">
        <f t="shared" si="12"/>
        <v>6698.9055183333376</v>
      </c>
      <c r="AP30" s="60" t="b">
        <f t="shared" si="13"/>
        <v>0</v>
      </c>
    </row>
    <row r="31" spans="1:42" ht="12" customHeight="1" outlineLevel="1">
      <c r="A31" s="84">
        <v>3</v>
      </c>
      <c r="B31" s="60">
        <f t="shared" si="14"/>
        <v>2027</v>
      </c>
      <c r="C31" s="34">
        <v>0</v>
      </c>
      <c r="D31" s="60"/>
      <c r="E31" s="60"/>
      <c r="F31" s="87">
        <f>IF(F$26,MIN($C31,MAX($C31/$C$25,$C31/(F$26/12))),0)</f>
        <v>0</v>
      </c>
      <c r="G31" s="84">
        <f t="shared" ref="G31:AM31" si="16">IF(AND(G$24-$A31&lt;$C$25,G$26&gt;0),F31*(G$25/12),0)</f>
        <v>0</v>
      </c>
      <c r="H31" s="84">
        <f t="shared" si="16"/>
        <v>0</v>
      </c>
      <c r="I31" s="84">
        <f t="shared" si="16"/>
        <v>0</v>
      </c>
      <c r="J31" s="84">
        <f t="shared" si="16"/>
        <v>0</v>
      </c>
      <c r="K31" s="84">
        <f t="shared" si="16"/>
        <v>0</v>
      </c>
      <c r="L31" s="84">
        <f t="shared" si="16"/>
        <v>0</v>
      </c>
      <c r="M31" s="84">
        <f t="shared" si="16"/>
        <v>0</v>
      </c>
      <c r="N31" s="84">
        <f t="shared" si="16"/>
        <v>0</v>
      </c>
      <c r="O31" s="84">
        <f t="shared" si="16"/>
        <v>0</v>
      </c>
      <c r="P31" s="84">
        <f t="shared" si="16"/>
        <v>0</v>
      </c>
      <c r="Q31" s="84">
        <f t="shared" si="16"/>
        <v>0</v>
      </c>
      <c r="R31" s="84">
        <f t="shared" si="16"/>
        <v>0</v>
      </c>
      <c r="S31" s="84">
        <f t="shared" si="16"/>
        <v>0</v>
      </c>
      <c r="T31" s="84">
        <f t="shared" si="16"/>
        <v>0</v>
      </c>
      <c r="U31" s="84">
        <f t="shared" si="16"/>
        <v>0</v>
      </c>
      <c r="V31" s="84">
        <f t="shared" si="16"/>
        <v>0</v>
      </c>
      <c r="W31" s="84">
        <f t="shared" si="16"/>
        <v>0</v>
      </c>
      <c r="X31" s="84">
        <f t="shared" si="16"/>
        <v>0</v>
      </c>
      <c r="Y31" s="84">
        <f t="shared" si="16"/>
        <v>0</v>
      </c>
      <c r="Z31" s="84">
        <f t="shared" si="16"/>
        <v>0</v>
      </c>
      <c r="AA31" s="84">
        <f t="shared" si="16"/>
        <v>0</v>
      </c>
      <c r="AB31" s="84">
        <f t="shared" si="16"/>
        <v>0</v>
      </c>
      <c r="AC31" s="84">
        <f t="shared" si="16"/>
        <v>0</v>
      </c>
      <c r="AD31" s="84">
        <f t="shared" si="16"/>
        <v>0</v>
      </c>
      <c r="AE31" s="84">
        <f t="shared" si="16"/>
        <v>0</v>
      </c>
      <c r="AF31" s="84">
        <f t="shared" si="16"/>
        <v>0</v>
      </c>
      <c r="AG31" s="84">
        <f t="shared" si="16"/>
        <v>0</v>
      </c>
      <c r="AH31" s="84">
        <f t="shared" si="16"/>
        <v>0</v>
      </c>
      <c r="AI31" s="84">
        <f t="shared" si="16"/>
        <v>0</v>
      </c>
      <c r="AJ31" s="84">
        <f t="shared" si="16"/>
        <v>0</v>
      </c>
      <c r="AK31" s="84">
        <f t="shared" si="16"/>
        <v>0</v>
      </c>
      <c r="AL31" s="84">
        <f t="shared" si="16"/>
        <v>0</v>
      </c>
      <c r="AM31" s="84">
        <f t="shared" si="16"/>
        <v>0</v>
      </c>
      <c r="AN31" s="60"/>
      <c r="AO31" s="87">
        <f t="shared" si="12"/>
        <v>0</v>
      </c>
      <c r="AP31" s="60" t="b">
        <f t="shared" si="13"/>
        <v>1</v>
      </c>
    </row>
    <row r="32" spans="1:42" ht="12" customHeight="1" outlineLevel="1">
      <c r="A32" s="84">
        <v>4</v>
      </c>
      <c r="B32" s="60">
        <f t="shared" si="14"/>
        <v>2028</v>
      </c>
      <c r="C32" s="34">
        <v>0</v>
      </c>
      <c r="D32" s="60"/>
      <c r="E32" s="60"/>
      <c r="F32" s="60"/>
      <c r="G32" s="87">
        <f>IF(G$26,MIN($C32,MAX($C32/$C$25,$C32/(G$26/12))),0)</f>
        <v>0</v>
      </c>
      <c r="H32" s="84">
        <f t="shared" ref="H32:AM32" si="17">IF(AND(H$24-$A32&lt;$C$25,H$26&gt;0),G32*(H$25/12),0)</f>
        <v>0</v>
      </c>
      <c r="I32" s="84">
        <f t="shared" si="17"/>
        <v>0</v>
      </c>
      <c r="J32" s="84">
        <f t="shared" si="17"/>
        <v>0</v>
      </c>
      <c r="K32" s="84">
        <f t="shared" si="17"/>
        <v>0</v>
      </c>
      <c r="L32" s="84">
        <f t="shared" si="17"/>
        <v>0</v>
      </c>
      <c r="M32" s="84">
        <f t="shared" si="17"/>
        <v>0</v>
      </c>
      <c r="N32" s="84">
        <f t="shared" si="17"/>
        <v>0</v>
      </c>
      <c r="O32" s="84">
        <f t="shared" si="17"/>
        <v>0</v>
      </c>
      <c r="P32" s="84">
        <f t="shared" si="17"/>
        <v>0</v>
      </c>
      <c r="Q32" s="84">
        <f t="shared" si="17"/>
        <v>0</v>
      </c>
      <c r="R32" s="84">
        <f t="shared" si="17"/>
        <v>0</v>
      </c>
      <c r="S32" s="84">
        <f t="shared" si="17"/>
        <v>0</v>
      </c>
      <c r="T32" s="84">
        <f t="shared" si="17"/>
        <v>0</v>
      </c>
      <c r="U32" s="84">
        <f t="shared" si="17"/>
        <v>0</v>
      </c>
      <c r="V32" s="84">
        <f t="shared" si="17"/>
        <v>0</v>
      </c>
      <c r="W32" s="84">
        <f t="shared" si="17"/>
        <v>0</v>
      </c>
      <c r="X32" s="84">
        <f t="shared" si="17"/>
        <v>0</v>
      </c>
      <c r="Y32" s="84">
        <f t="shared" si="17"/>
        <v>0</v>
      </c>
      <c r="Z32" s="84">
        <f t="shared" si="17"/>
        <v>0</v>
      </c>
      <c r="AA32" s="84">
        <f t="shared" si="17"/>
        <v>0</v>
      </c>
      <c r="AB32" s="84">
        <f t="shared" si="17"/>
        <v>0</v>
      </c>
      <c r="AC32" s="84">
        <f t="shared" si="17"/>
        <v>0</v>
      </c>
      <c r="AD32" s="84">
        <f t="shared" si="17"/>
        <v>0</v>
      </c>
      <c r="AE32" s="84">
        <f t="shared" si="17"/>
        <v>0</v>
      </c>
      <c r="AF32" s="84">
        <f t="shared" si="17"/>
        <v>0</v>
      </c>
      <c r="AG32" s="84">
        <f t="shared" si="17"/>
        <v>0</v>
      </c>
      <c r="AH32" s="84">
        <f t="shared" si="17"/>
        <v>0</v>
      </c>
      <c r="AI32" s="84">
        <f t="shared" si="17"/>
        <v>0</v>
      </c>
      <c r="AJ32" s="84">
        <f t="shared" si="17"/>
        <v>0</v>
      </c>
      <c r="AK32" s="84">
        <f t="shared" si="17"/>
        <v>0</v>
      </c>
      <c r="AL32" s="84">
        <f t="shared" si="17"/>
        <v>0</v>
      </c>
      <c r="AM32" s="84">
        <f t="shared" si="17"/>
        <v>0</v>
      </c>
      <c r="AN32" s="60"/>
      <c r="AO32" s="87">
        <f t="shared" si="12"/>
        <v>0</v>
      </c>
      <c r="AP32" s="60" t="b">
        <f t="shared" si="13"/>
        <v>1</v>
      </c>
    </row>
    <row r="33" spans="1:42" ht="12" customHeight="1" outlineLevel="1">
      <c r="A33" s="84">
        <v>5</v>
      </c>
      <c r="B33" s="60">
        <f t="shared" si="14"/>
        <v>2029</v>
      </c>
      <c r="C33" s="34">
        <v>0</v>
      </c>
      <c r="D33" s="60"/>
      <c r="E33" s="60"/>
      <c r="F33" s="60"/>
      <c r="G33" s="60"/>
      <c r="H33" s="87">
        <f>IF(H$26,MIN($C33,MAX($C33/$C$25,$C33/(H$26/12))),0)</f>
        <v>0</v>
      </c>
      <c r="I33" s="84">
        <f t="shared" ref="I33:AM33" si="18">IF(AND(I$24-$A33&lt;$C$25,I$26&gt;0),H33*(I$25/12),0)</f>
        <v>0</v>
      </c>
      <c r="J33" s="84">
        <f t="shared" si="18"/>
        <v>0</v>
      </c>
      <c r="K33" s="84">
        <f t="shared" si="18"/>
        <v>0</v>
      </c>
      <c r="L33" s="84">
        <f t="shared" si="18"/>
        <v>0</v>
      </c>
      <c r="M33" s="84">
        <f t="shared" si="18"/>
        <v>0</v>
      </c>
      <c r="N33" s="84">
        <f t="shared" si="18"/>
        <v>0</v>
      </c>
      <c r="O33" s="84">
        <f t="shared" si="18"/>
        <v>0</v>
      </c>
      <c r="P33" s="84">
        <f t="shared" si="18"/>
        <v>0</v>
      </c>
      <c r="Q33" s="84">
        <f t="shared" si="18"/>
        <v>0</v>
      </c>
      <c r="R33" s="84">
        <f t="shared" si="18"/>
        <v>0</v>
      </c>
      <c r="S33" s="84">
        <f t="shared" si="18"/>
        <v>0</v>
      </c>
      <c r="T33" s="84">
        <f t="shared" si="18"/>
        <v>0</v>
      </c>
      <c r="U33" s="84">
        <f t="shared" si="18"/>
        <v>0</v>
      </c>
      <c r="V33" s="84">
        <f t="shared" si="18"/>
        <v>0</v>
      </c>
      <c r="W33" s="84">
        <f t="shared" si="18"/>
        <v>0</v>
      </c>
      <c r="X33" s="84">
        <f t="shared" si="18"/>
        <v>0</v>
      </c>
      <c r="Y33" s="84">
        <f t="shared" si="18"/>
        <v>0</v>
      </c>
      <c r="Z33" s="84">
        <f t="shared" si="18"/>
        <v>0</v>
      </c>
      <c r="AA33" s="84">
        <f t="shared" si="18"/>
        <v>0</v>
      </c>
      <c r="AB33" s="84">
        <f t="shared" si="18"/>
        <v>0</v>
      </c>
      <c r="AC33" s="84">
        <f t="shared" si="18"/>
        <v>0</v>
      </c>
      <c r="AD33" s="84">
        <f t="shared" si="18"/>
        <v>0</v>
      </c>
      <c r="AE33" s="84">
        <f t="shared" si="18"/>
        <v>0</v>
      </c>
      <c r="AF33" s="84">
        <f t="shared" si="18"/>
        <v>0</v>
      </c>
      <c r="AG33" s="84">
        <f t="shared" si="18"/>
        <v>0</v>
      </c>
      <c r="AH33" s="84">
        <f t="shared" si="18"/>
        <v>0</v>
      </c>
      <c r="AI33" s="84">
        <f t="shared" si="18"/>
        <v>0</v>
      </c>
      <c r="AJ33" s="84">
        <f t="shared" si="18"/>
        <v>0</v>
      </c>
      <c r="AK33" s="84">
        <f t="shared" si="18"/>
        <v>0</v>
      </c>
      <c r="AL33" s="84">
        <f t="shared" si="18"/>
        <v>0</v>
      </c>
      <c r="AM33" s="84">
        <f t="shared" si="18"/>
        <v>0</v>
      </c>
      <c r="AN33" s="60"/>
      <c r="AO33" s="87">
        <f t="shared" si="12"/>
        <v>0</v>
      </c>
      <c r="AP33" s="60" t="b">
        <f t="shared" si="13"/>
        <v>1</v>
      </c>
    </row>
    <row r="34" spans="1:42" ht="12" customHeight="1" outlineLevel="1">
      <c r="A34" s="84">
        <v>6</v>
      </c>
      <c r="B34" s="60">
        <f t="shared" si="14"/>
        <v>2030</v>
      </c>
      <c r="C34" s="34">
        <v>0</v>
      </c>
      <c r="D34" s="60"/>
      <c r="E34" s="60"/>
      <c r="F34" s="60"/>
      <c r="G34" s="60"/>
      <c r="H34" s="60"/>
      <c r="I34" s="87">
        <f>IF(I$26,MIN($C34,MAX($C34/$C$25,$C34/(I$26/12))),0)</f>
        <v>0</v>
      </c>
      <c r="J34" s="84">
        <f t="shared" ref="J34:AM34" si="19">IF(AND(J$24-$A34&lt;$C$25,J$26&gt;0),I34*(J$25/12),0)</f>
        <v>0</v>
      </c>
      <c r="K34" s="84">
        <f t="shared" si="19"/>
        <v>0</v>
      </c>
      <c r="L34" s="84">
        <f t="shared" si="19"/>
        <v>0</v>
      </c>
      <c r="M34" s="84">
        <f t="shared" si="19"/>
        <v>0</v>
      </c>
      <c r="N34" s="84">
        <f t="shared" si="19"/>
        <v>0</v>
      </c>
      <c r="O34" s="84">
        <f t="shared" si="19"/>
        <v>0</v>
      </c>
      <c r="P34" s="84">
        <f t="shared" si="19"/>
        <v>0</v>
      </c>
      <c r="Q34" s="84">
        <f t="shared" si="19"/>
        <v>0</v>
      </c>
      <c r="R34" s="84">
        <f t="shared" si="19"/>
        <v>0</v>
      </c>
      <c r="S34" s="84">
        <f t="shared" si="19"/>
        <v>0</v>
      </c>
      <c r="T34" s="84">
        <f t="shared" si="19"/>
        <v>0</v>
      </c>
      <c r="U34" s="84">
        <f t="shared" si="19"/>
        <v>0</v>
      </c>
      <c r="V34" s="84">
        <f t="shared" si="19"/>
        <v>0</v>
      </c>
      <c r="W34" s="84">
        <f t="shared" si="19"/>
        <v>0</v>
      </c>
      <c r="X34" s="84">
        <f t="shared" si="19"/>
        <v>0</v>
      </c>
      <c r="Y34" s="84">
        <f t="shared" si="19"/>
        <v>0</v>
      </c>
      <c r="Z34" s="84">
        <f t="shared" si="19"/>
        <v>0</v>
      </c>
      <c r="AA34" s="84">
        <f t="shared" si="19"/>
        <v>0</v>
      </c>
      <c r="AB34" s="84">
        <f t="shared" si="19"/>
        <v>0</v>
      </c>
      <c r="AC34" s="84">
        <f t="shared" si="19"/>
        <v>0</v>
      </c>
      <c r="AD34" s="84">
        <f t="shared" si="19"/>
        <v>0</v>
      </c>
      <c r="AE34" s="84">
        <f t="shared" si="19"/>
        <v>0</v>
      </c>
      <c r="AF34" s="84">
        <f t="shared" si="19"/>
        <v>0</v>
      </c>
      <c r="AG34" s="84">
        <f t="shared" si="19"/>
        <v>0</v>
      </c>
      <c r="AH34" s="84">
        <f t="shared" si="19"/>
        <v>0</v>
      </c>
      <c r="AI34" s="84">
        <f t="shared" si="19"/>
        <v>0</v>
      </c>
      <c r="AJ34" s="84">
        <f t="shared" si="19"/>
        <v>0</v>
      </c>
      <c r="AK34" s="84">
        <f t="shared" si="19"/>
        <v>0</v>
      </c>
      <c r="AL34" s="84">
        <f t="shared" si="19"/>
        <v>0</v>
      </c>
      <c r="AM34" s="84">
        <f t="shared" si="19"/>
        <v>0</v>
      </c>
      <c r="AN34" s="60"/>
      <c r="AO34" s="87">
        <f t="shared" si="12"/>
        <v>0</v>
      </c>
      <c r="AP34" s="60" t="b">
        <f t="shared" si="13"/>
        <v>1</v>
      </c>
    </row>
    <row r="35" spans="1:42" ht="12" customHeight="1" outlineLevel="1">
      <c r="A35" s="84">
        <v>7</v>
      </c>
      <c r="B35" s="60">
        <f t="shared" si="14"/>
        <v>2031</v>
      </c>
      <c r="C35" s="34">
        <v>0</v>
      </c>
      <c r="D35" s="60"/>
      <c r="E35" s="60"/>
      <c r="F35" s="60"/>
      <c r="G35" s="60"/>
      <c r="H35" s="60"/>
      <c r="I35" s="60"/>
      <c r="J35" s="87">
        <f>IF(J$26,MIN($C35,MAX($C35/$C$25,$C35/(J$26/12))),0)</f>
        <v>0</v>
      </c>
      <c r="K35" s="84">
        <f t="shared" ref="K35:AM35" si="20">IF(AND(K$24-$A35&lt;$C$25,K$26&gt;0),J35*(K$25/12),0)</f>
        <v>0</v>
      </c>
      <c r="L35" s="84">
        <f t="shared" si="20"/>
        <v>0</v>
      </c>
      <c r="M35" s="84">
        <f t="shared" si="20"/>
        <v>0</v>
      </c>
      <c r="N35" s="84">
        <f t="shared" si="20"/>
        <v>0</v>
      </c>
      <c r="O35" s="84">
        <f t="shared" si="20"/>
        <v>0</v>
      </c>
      <c r="P35" s="84">
        <f t="shared" si="20"/>
        <v>0</v>
      </c>
      <c r="Q35" s="84">
        <f t="shared" si="20"/>
        <v>0</v>
      </c>
      <c r="R35" s="84">
        <f t="shared" si="20"/>
        <v>0</v>
      </c>
      <c r="S35" s="84">
        <f t="shared" si="20"/>
        <v>0</v>
      </c>
      <c r="T35" s="84">
        <f t="shared" si="20"/>
        <v>0</v>
      </c>
      <c r="U35" s="84">
        <f t="shared" si="20"/>
        <v>0</v>
      </c>
      <c r="V35" s="84">
        <f t="shared" si="20"/>
        <v>0</v>
      </c>
      <c r="W35" s="84">
        <f t="shared" si="20"/>
        <v>0</v>
      </c>
      <c r="X35" s="84">
        <f t="shared" si="20"/>
        <v>0</v>
      </c>
      <c r="Y35" s="84">
        <f t="shared" si="20"/>
        <v>0</v>
      </c>
      <c r="Z35" s="84">
        <f t="shared" si="20"/>
        <v>0</v>
      </c>
      <c r="AA35" s="84">
        <f t="shared" si="20"/>
        <v>0</v>
      </c>
      <c r="AB35" s="84">
        <f t="shared" si="20"/>
        <v>0</v>
      </c>
      <c r="AC35" s="84">
        <f t="shared" si="20"/>
        <v>0</v>
      </c>
      <c r="AD35" s="84">
        <f t="shared" si="20"/>
        <v>0</v>
      </c>
      <c r="AE35" s="84">
        <f t="shared" si="20"/>
        <v>0</v>
      </c>
      <c r="AF35" s="84">
        <f t="shared" si="20"/>
        <v>0</v>
      </c>
      <c r="AG35" s="84">
        <f t="shared" si="20"/>
        <v>0</v>
      </c>
      <c r="AH35" s="84">
        <f t="shared" si="20"/>
        <v>0</v>
      </c>
      <c r="AI35" s="84">
        <f t="shared" si="20"/>
        <v>0</v>
      </c>
      <c r="AJ35" s="84">
        <f t="shared" si="20"/>
        <v>0</v>
      </c>
      <c r="AK35" s="84">
        <f t="shared" si="20"/>
        <v>0</v>
      </c>
      <c r="AL35" s="84">
        <f t="shared" si="20"/>
        <v>0</v>
      </c>
      <c r="AM35" s="84">
        <f t="shared" si="20"/>
        <v>0</v>
      </c>
      <c r="AN35" s="60"/>
      <c r="AO35" s="87">
        <f t="shared" si="12"/>
        <v>0</v>
      </c>
      <c r="AP35" s="60" t="b">
        <f t="shared" si="13"/>
        <v>1</v>
      </c>
    </row>
    <row r="36" spans="1:42" ht="12" customHeight="1" outlineLevel="1">
      <c r="A36" s="84">
        <v>8</v>
      </c>
      <c r="B36" s="60">
        <f t="shared" si="14"/>
        <v>2032</v>
      </c>
      <c r="C36" s="34">
        <v>0</v>
      </c>
      <c r="D36" s="60"/>
      <c r="E36" s="60"/>
      <c r="F36" s="60"/>
      <c r="G36" s="60"/>
      <c r="H36" s="60"/>
      <c r="I36" s="60"/>
      <c r="J36" s="60"/>
      <c r="K36" s="87">
        <f>IF(K$26,MIN($C36,MAX($C36/$C$25,$C36/(K$26/12))),0)</f>
        <v>0</v>
      </c>
      <c r="L36" s="84">
        <f t="shared" ref="L36:AM36" si="21">IF(AND(L$24-$A36&lt;$C$25,L$26&gt;0),K36*(L$25/12),0)</f>
        <v>0</v>
      </c>
      <c r="M36" s="84">
        <f t="shared" si="21"/>
        <v>0</v>
      </c>
      <c r="N36" s="84">
        <f t="shared" si="21"/>
        <v>0</v>
      </c>
      <c r="O36" s="84">
        <f t="shared" si="21"/>
        <v>0</v>
      </c>
      <c r="P36" s="84">
        <f t="shared" si="21"/>
        <v>0</v>
      </c>
      <c r="Q36" s="84">
        <f t="shared" si="21"/>
        <v>0</v>
      </c>
      <c r="R36" s="84">
        <f t="shared" si="21"/>
        <v>0</v>
      </c>
      <c r="S36" s="84">
        <f t="shared" si="21"/>
        <v>0</v>
      </c>
      <c r="T36" s="84">
        <f t="shared" si="21"/>
        <v>0</v>
      </c>
      <c r="U36" s="84">
        <f t="shared" si="21"/>
        <v>0</v>
      </c>
      <c r="V36" s="84">
        <f t="shared" si="21"/>
        <v>0</v>
      </c>
      <c r="W36" s="84">
        <f t="shared" si="21"/>
        <v>0</v>
      </c>
      <c r="X36" s="84">
        <f t="shared" si="21"/>
        <v>0</v>
      </c>
      <c r="Y36" s="84">
        <f t="shared" si="21"/>
        <v>0</v>
      </c>
      <c r="Z36" s="84">
        <f t="shared" si="21"/>
        <v>0</v>
      </c>
      <c r="AA36" s="84">
        <f t="shared" si="21"/>
        <v>0</v>
      </c>
      <c r="AB36" s="84">
        <f t="shared" si="21"/>
        <v>0</v>
      </c>
      <c r="AC36" s="84">
        <f t="shared" si="21"/>
        <v>0</v>
      </c>
      <c r="AD36" s="84">
        <f t="shared" si="21"/>
        <v>0</v>
      </c>
      <c r="AE36" s="84">
        <f t="shared" si="21"/>
        <v>0</v>
      </c>
      <c r="AF36" s="84">
        <f t="shared" si="21"/>
        <v>0</v>
      </c>
      <c r="AG36" s="84">
        <f t="shared" si="21"/>
        <v>0</v>
      </c>
      <c r="AH36" s="84">
        <f t="shared" si="21"/>
        <v>0</v>
      </c>
      <c r="AI36" s="84">
        <f t="shared" si="21"/>
        <v>0</v>
      </c>
      <c r="AJ36" s="84">
        <f t="shared" si="21"/>
        <v>0</v>
      </c>
      <c r="AK36" s="84">
        <f t="shared" si="21"/>
        <v>0</v>
      </c>
      <c r="AL36" s="84">
        <f t="shared" si="21"/>
        <v>0</v>
      </c>
      <c r="AM36" s="84">
        <f t="shared" si="21"/>
        <v>0</v>
      </c>
      <c r="AN36" s="60"/>
      <c r="AO36" s="87">
        <f t="shared" si="12"/>
        <v>0</v>
      </c>
      <c r="AP36" s="60" t="b">
        <f t="shared" si="13"/>
        <v>1</v>
      </c>
    </row>
    <row r="37" spans="1:42" ht="12" customHeight="1" outlineLevel="1">
      <c r="A37" s="84">
        <v>9</v>
      </c>
      <c r="B37" s="60">
        <f t="shared" si="14"/>
        <v>2033</v>
      </c>
      <c r="C37" s="34">
        <v>0</v>
      </c>
      <c r="D37" s="60"/>
      <c r="E37" s="60"/>
      <c r="F37" s="60"/>
      <c r="G37" s="60"/>
      <c r="H37" s="60"/>
      <c r="I37" s="60"/>
      <c r="J37" s="60"/>
      <c r="K37" s="60"/>
      <c r="L37" s="87">
        <f>IF(L$26,MIN($C37,MAX($C37/$C$25,$C37/(L$26/12))),0)</f>
        <v>0</v>
      </c>
      <c r="M37" s="84">
        <f t="shared" ref="M37:AM37" si="22">IF(AND(M$24-$A37&lt;$C$25,M$26&gt;0),L37*(M$25/12),0)</f>
        <v>0</v>
      </c>
      <c r="N37" s="84">
        <f t="shared" si="22"/>
        <v>0</v>
      </c>
      <c r="O37" s="84">
        <f t="shared" si="22"/>
        <v>0</v>
      </c>
      <c r="P37" s="84">
        <f t="shared" si="22"/>
        <v>0</v>
      </c>
      <c r="Q37" s="84">
        <f t="shared" si="22"/>
        <v>0</v>
      </c>
      <c r="R37" s="84">
        <f t="shared" si="22"/>
        <v>0</v>
      </c>
      <c r="S37" s="84">
        <f t="shared" si="22"/>
        <v>0</v>
      </c>
      <c r="T37" s="84">
        <f t="shared" si="22"/>
        <v>0</v>
      </c>
      <c r="U37" s="84">
        <f t="shared" si="22"/>
        <v>0</v>
      </c>
      <c r="V37" s="84">
        <f t="shared" si="22"/>
        <v>0</v>
      </c>
      <c r="W37" s="84">
        <f t="shared" si="22"/>
        <v>0</v>
      </c>
      <c r="X37" s="84">
        <f t="shared" si="22"/>
        <v>0</v>
      </c>
      <c r="Y37" s="84">
        <f t="shared" si="22"/>
        <v>0</v>
      </c>
      <c r="Z37" s="84">
        <f t="shared" si="22"/>
        <v>0</v>
      </c>
      <c r="AA37" s="84">
        <f t="shared" si="22"/>
        <v>0</v>
      </c>
      <c r="AB37" s="84">
        <f t="shared" si="22"/>
        <v>0</v>
      </c>
      <c r="AC37" s="84">
        <f t="shared" si="22"/>
        <v>0</v>
      </c>
      <c r="AD37" s="84">
        <f t="shared" si="22"/>
        <v>0</v>
      </c>
      <c r="AE37" s="84">
        <f t="shared" si="22"/>
        <v>0</v>
      </c>
      <c r="AF37" s="84">
        <f t="shared" si="22"/>
        <v>0</v>
      </c>
      <c r="AG37" s="84">
        <f t="shared" si="22"/>
        <v>0</v>
      </c>
      <c r="AH37" s="84">
        <f t="shared" si="22"/>
        <v>0</v>
      </c>
      <c r="AI37" s="84">
        <f t="shared" si="22"/>
        <v>0</v>
      </c>
      <c r="AJ37" s="84">
        <f t="shared" si="22"/>
        <v>0</v>
      </c>
      <c r="AK37" s="84">
        <f t="shared" si="22"/>
        <v>0</v>
      </c>
      <c r="AL37" s="84">
        <f t="shared" si="22"/>
        <v>0</v>
      </c>
      <c r="AM37" s="84">
        <f t="shared" si="22"/>
        <v>0</v>
      </c>
      <c r="AN37" s="60"/>
      <c r="AO37" s="87">
        <f t="shared" si="12"/>
        <v>0</v>
      </c>
      <c r="AP37" s="60" t="b">
        <f t="shared" si="13"/>
        <v>1</v>
      </c>
    </row>
    <row r="38" spans="1:42" ht="12" customHeight="1" outlineLevel="1">
      <c r="A38" s="84">
        <v>10</v>
      </c>
      <c r="B38" s="60">
        <f t="shared" si="14"/>
        <v>2034</v>
      </c>
      <c r="C38" s="34">
        <v>0</v>
      </c>
      <c r="D38" s="60"/>
      <c r="E38" s="60"/>
      <c r="F38" s="60"/>
      <c r="G38" s="60"/>
      <c r="H38" s="60"/>
      <c r="I38" s="60"/>
      <c r="J38" s="60"/>
      <c r="K38" s="60"/>
      <c r="L38" s="60"/>
      <c r="M38" s="87">
        <f>IF(M$26,MIN($C38,MAX($C38/$C$25,$C38/(M$26/12))),0)</f>
        <v>0</v>
      </c>
      <c r="N38" s="84">
        <f t="shared" ref="N38:AM38" si="23">IF(AND(N$24-$A38&lt;$C$25,N$26&gt;0),M38*(N$25/12),0)</f>
        <v>0</v>
      </c>
      <c r="O38" s="84">
        <f t="shared" si="23"/>
        <v>0</v>
      </c>
      <c r="P38" s="84">
        <f t="shared" si="23"/>
        <v>0</v>
      </c>
      <c r="Q38" s="84">
        <f t="shared" si="23"/>
        <v>0</v>
      </c>
      <c r="R38" s="84">
        <f t="shared" si="23"/>
        <v>0</v>
      </c>
      <c r="S38" s="84">
        <f t="shared" si="23"/>
        <v>0</v>
      </c>
      <c r="T38" s="84">
        <f t="shared" si="23"/>
        <v>0</v>
      </c>
      <c r="U38" s="84">
        <f t="shared" si="23"/>
        <v>0</v>
      </c>
      <c r="V38" s="84">
        <f t="shared" si="23"/>
        <v>0</v>
      </c>
      <c r="W38" s="84">
        <f t="shared" si="23"/>
        <v>0</v>
      </c>
      <c r="X38" s="84">
        <f t="shared" si="23"/>
        <v>0</v>
      </c>
      <c r="Y38" s="84">
        <f t="shared" si="23"/>
        <v>0</v>
      </c>
      <c r="Z38" s="84">
        <f t="shared" si="23"/>
        <v>0</v>
      </c>
      <c r="AA38" s="84">
        <f t="shared" si="23"/>
        <v>0</v>
      </c>
      <c r="AB38" s="84">
        <f t="shared" si="23"/>
        <v>0</v>
      </c>
      <c r="AC38" s="84">
        <f t="shared" si="23"/>
        <v>0</v>
      </c>
      <c r="AD38" s="84">
        <f t="shared" si="23"/>
        <v>0</v>
      </c>
      <c r="AE38" s="84">
        <f t="shared" si="23"/>
        <v>0</v>
      </c>
      <c r="AF38" s="84">
        <f t="shared" si="23"/>
        <v>0</v>
      </c>
      <c r="AG38" s="84">
        <f t="shared" si="23"/>
        <v>0</v>
      </c>
      <c r="AH38" s="84">
        <f t="shared" si="23"/>
        <v>0</v>
      </c>
      <c r="AI38" s="84">
        <f t="shared" si="23"/>
        <v>0</v>
      </c>
      <c r="AJ38" s="84">
        <f t="shared" si="23"/>
        <v>0</v>
      </c>
      <c r="AK38" s="84">
        <f t="shared" si="23"/>
        <v>0</v>
      </c>
      <c r="AL38" s="84">
        <f t="shared" si="23"/>
        <v>0</v>
      </c>
      <c r="AM38" s="84">
        <f t="shared" si="23"/>
        <v>0</v>
      </c>
      <c r="AN38" s="60"/>
      <c r="AO38" s="87">
        <f t="shared" si="12"/>
        <v>0</v>
      </c>
      <c r="AP38" s="60" t="b">
        <f t="shared" si="13"/>
        <v>1</v>
      </c>
    </row>
    <row r="39" spans="1:42" ht="12" customHeight="1" outlineLevel="1">
      <c r="A39" s="84">
        <v>11</v>
      </c>
      <c r="B39" s="60">
        <f t="shared" si="14"/>
        <v>2035</v>
      </c>
      <c r="C39" s="34">
        <v>0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87">
        <f>IF(N$26,MIN($C39,MAX($C39/$C$25,$C39/(N$26/12))),0)</f>
        <v>0</v>
      </c>
      <c r="O39" s="84">
        <f t="shared" ref="O39:AM39" si="24">IF(AND(O$24-$A39&lt;$C$25,O$26&gt;0),N39*(O$25/12),0)</f>
        <v>0</v>
      </c>
      <c r="P39" s="84">
        <f t="shared" si="24"/>
        <v>0</v>
      </c>
      <c r="Q39" s="84">
        <f t="shared" si="24"/>
        <v>0</v>
      </c>
      <c r="R39" s="84">
        <f t="shared" si="24"/>
        <v>0</v>
      </c>
      <c r="S39" s="84">
        <f t="shared" si="24"/>
        <v>0</v>
      </c>
      <c r="T39" s="84">
        <f t="shared" si="24"/>
        <v>0</v>
      </c>
      <c r="U39" s="84">
        <f t="shared" si="24"/>
        <v>0</v>
      </c>
      <c r="V39" s="84">
        <f t="shared" si="24"/>
        <v>0</v>
      </c>
      <c r="W39" s="84">
        <f t="shared" si="24"/>
        <v>0</v>
      </c>
      <c r="X39" s="84">
        <f t="shared" si="24"/>
        <v>0</v>
      </c>
      <c r="Y39" s="84">
        <f t="shared" si="24"/>
        <v>0</v>
      </c>
      <c r="Z39" s="84">
        <f t="shared" si="24"/>
        <v>0</v>
      </c>
      <c r="AA39" s="84">
        <f t="shared" si="24"/>
        <v>0</v>
      </c>
      <c r="AB39" s="84">
        <f t="shared" si="24"/>
        <v>0</v>
      </c>
      <c r="AC39" s="84">
        <f t="shared" si="24"/>
        <v>0</v>
      </c>
      <c r="AD39" s="84">
        <f t="shared" si="24"/>
        <v>0</v>
      </c>
      <c r="AE39" s="84">
        <f t="shared" si="24"/>
        <v>0</v>
      </c>
      <c r="AF39" s="84">
        <f t="shared" si="24"/>
        <v>0</v>
      </c>
      <c r="AG39" s="84">
        <f t="shared" si="24"/>
        <v>0</v>
      </c>
      <c r="AH39" s="84">
        <f t="shared" si="24"/>
        <v>0</v>
      </c>
      <c r="AI39" s="84">
        <f t="shared" si="24"/>
        <v>0</v>
      </c>
      <c r="AJ39" s="84">
        <f t="shared" si="24"/>
        <v>0</v>
      </c>
      <c r="AK39" s="84">
        <f t="shared" si="24"/>
        <v>0</v>
      </c>
      <c r="AL39" s="84">
        <f t="shared" si="24"/>
        <v>0</v>
      </c>
      <c r="AM39" s="84">
        <f t="shared" si="24"/>
        <v>0</v>
      </c>
      <c r="AN39" s="60"/>
      <c r="AO39" s="87">
        <f t="shared" si="12"/>
        <v>0</v>
      </c>
      <c r="AP39" s="60" t="b">
        <f t="shared" si="13"/>
        <v>1</v>
      </c>
    </row>
    <row r="40" spans="1:42" ht="12" customHeight="1" outlineLevel="1">
      <c r="A40" s="84">
        <v>12</v>
      </c>
      <c r="B40" s="60">
        <f t="shared" si="14"/>
        <v>2036</v>
      </c>
      <c r="C40" s="34">
        <v>0</v>
      </c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87">
        <f>IF(O$26,MIN($C40,MAX($C40/$C$25,$C40/(O$26/12))),0)</f>
        <v>0</v>
      </c>
      <c r="P40" s="84">
        <f t="shared" ref="P40:AM40" si="25">IF(AND(P$24-$A40&lt;$C$25,P$26&gt;0),O40*(P$25/12),0)</f>
        <v>0</v>
      </c>
      <c r="Q40" s="84">
        <f t="shared" si="25"/>
        <v>0</v>
      </c>
      <c r="R40" s="84">
        <f t="shared" si="25"/>
        <v>0</v>
      </c>
      <c r="S40" s="84">
        <f t="shared" si="25"/>
        <v>0</v>
      </c>
      <c r="T40" s="84">
        <f t="shared" si="25"/>
        <v>0</v>
      </c>
      <c r="U40" s="84">
        <f t="shared" si="25"/>
        <v>0</v>
      </c>
      <c r="V40" s="84">
        <f t="shared" si="25"/>
        <v>0</v>
      </c>
      <c r="W40" s="84">
        <f t="shared" si="25"/>
        <v>0</v>
      </c>
      <c r="X40" s="84">
        <f t="shared" si="25"/>
        <v>0</v>
      </c>
      <c r="Y40" s="84">
        <f t="shared" si="25"/>
        <v>0</v>
      </c>
      <c r="Z40" s="84">
        <f t="shared" si="25"/>
        <v>0</v>
      </c>
      <c r="AA40" s="84">
        <f t="shared" si="25"/>
        <v>0</v>
      </c>
      <c r="AB40" s="84">
        <f t="shared" si="25"/>
        <v>0</v>
      </c>
      <c r="AC40" s="84">
        <f t="shared" si="25"/>
        <v>0</v>
      </c>
      <c r="AD40" s="84">
        <f t="shared" si="25"/>
        <v>0</v>
      </c>
      <c r="AE40" s="84">
        <f t="shared" si="25"/>
        <v>0</v>
      </c>
      <c r="AF40" s="84">
        <f t="shared" si="25"/>
        <v>0</v>
      </c>
      <c r="AG40" s="84">
        <f t="shared" si="25"/>
        <v>0</v>
      </c>
      <c r="AH40" s="84">
        <f t="shared" si="25"/>
        <v>0</v>
      </c>
      <c r="AI40" s="84">
        <f t="shared" si="25"/>
        <v>0</v>
      </c>
      <c r="AJ40" s="84">
        <f t="shared" si="25"/>
        <v>0</v>
      </c>
      <c r="AK40" s="84">
        <f t="shared" si="25"/>
        <v>0</v>
      </c>
      <c r="AL40" s="84">
        <f t="shared" si="25"/>
        <v>0</v>
      </c>
      <c r="AM40" s="84">
        <f t="shared" si="25"/>
        <v>0</v>
      </c>
      <c r="AN40" s="60"/>
      <c r="AO40" s="87">
        <f t="shared" si="12"/>
        <v>0</v>
      </c>
      <c r="AP40" s="60" t="b">
        <f t="shared" si="13"/>
        <v>1</v>
      </c>
    </row>
    <row r="41" spans="1:42" ht="12" customHeight="1" outlineLevel="1">
      <c r="A41" s="84">
        <v>13</v>
      </c>
      <c r="B41" s="60">
        <f t="shared" si="14"/>
        <v>2037</v>
      </c>
      <c r="C41" s="34">
        <v>0</v>
      </c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87">
        <f>IF(P$26,MIN($C41,MAX($C41/$C$25,$C41/(P$26/12))),0)</f>
        <v>0</v>
      </c>
      <c r="Q41" s="84">
        <f t="shared" ref="Q41:AM41" si="26">IF(AND(Q$24-$A41&lt;$C$25,Q$26&gt;0),P41*(Q$25/12),0)</f>
        <v>0</v>
      </c>
      <c r="R41" s="84">
        <f t="shared" si="26"/>
        <v>0</v>
      </c>
      <c r="S41" s="84">
        <f t="shared" si="26"/>
        <v>0</v>
      </c>
      <c r="T41" s="84">
        <f t="shared" si="26"/>
        <v>0</v>
      </c>
      <c r="U41" s="84">
        <f t="shared" si="26"/>
        <v>0</v>
      </c>
      <c r="V41" s="84">
        <f t="shared" si="26"/>
        <v>0</v>
      </c>
      <c r="W41" s="84">
        <f t="shared" si="26"/>
        <v>0</v>
      </c>
      <c r="X41" s="84">
        <f t="shared" si="26"/>
        <v>0</v>
      </c>
      <c r="Y41" s="84">
        <f t="shared" si="26"/>
        <v>0</v>
      </c>
      <c r="Z41" s="84">
        <f t="shared" si="26"/>
        <v>0</v>
      </c>
      <c r="AA41" s="84">
        <f t="shared" si="26"/>
        <v>0</v>
      </c>
      <c r="AB41" s="84">
        <f t="shared" si="26"/>
        <v>0</v>
      </c>
      <c r="AC41" s="84">
        <f t="shared" si="26"/>
        <v>0</v>
      </c>
      <c r="AD41" s="84">
        <f t="shared" si="26"/>
        <v>0</v>
      </c>
      <c r="AE41" s="84">
        <f t="shared" si="26"/>
        <v>0</v>
      </c>
      <c r="AF41" s="84">
        <f t="shared" si="26"/>
        <v>0</v>
      </c>
      <c r="AG41" s="84">
        <f t="shared" si="26"/>
        <v>0</v>
      </c>
      <c r="AH41" s="84">
        <f t="shared" si="26"/>
        <v>0</v>
      </c>
      <c r="AI41" s="84">
        <f t="shared" si="26"/>
        <v>0</v>
      </c>
      <c r="AJ41" s="84">
        <f t="shared" si="26"/>
        <v>0</v>
      </c>
      <c r="AK41" s="84">
        <f t="shared" si="26"/>
        <v>0</v>
      </c>
      <c r="AL41" s="84">
        <f t="shared" si="26"/>
        <v>0</v>
      </c>
      <c r="AM41" s="84">
        <f t="shared" si="26"/>
        <v>0</v>
      </c>
      <c r="AN41" s="60"/>
      <c r="AO41" s="87">
        <f t="shared" si="12"/>
        <v>0</v>
      </c>
      <c r="AP41" s="60" t="b">
        <f t="shared" si="13"/>
        <v>1</v>
      </c>
    </row>
    <row r="42" spans="1:42" ht="12" customHeight="1" outlineLevel="1">
      <c r="A42" s="84">
        <v>14</v>
      </c>
      <c r="B42" s="60">
        <f t="shared" si="14"/>
        <v>2038</v>
      </c>
      <c r="C42" s="34">
        <v>0</v>
      </c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87">
        <f>IF(Q$26,MIN($C42,MAX($C42/$C$25,$C42/(Q$26/12))),0)</f>
        <v>0</v>
      </c>
      <c r="R42" s="84">
        <f t="shared" ref="R42:AM42" si="27">IF(AND(R$24-$A42&lt;$C$25,R$26&gt;0),Q42*(R$25/12),0)</f>
        <v>0</v>
      </c>
      <c r="S42" s="84">
        <f t="shared" si="27"/>
        <v>0</v>
      </c>
      <c r="T42" s="84">
        <f t="shared" si="27"/>
        <v>0</v>
      </c>
      <c r="U42" s="84">
        <f t="shared" si="27"/>
        <v>0</v>
      </c>
      <c r="V42" s="84">
        <f t="shared" si="27"/>
        <v>0</v>
      </c>
      <c r="W42" s="84">
        <f t="shared" si="27"/>
        <v>0</v>
      </c>
      <c r="X42" s="84">
        <f t="shared" si="27"/>
        <v>0</v>
      </c>
      <c r="Y42" s="84">
        <f t="shared" si="27"/>
        <v>0</v>
      </c>
      <c r="Z42" s="84">
        <f t="shared" si="27"/>
        <v>0</v>
      </c>
      <c r="AA42" s="84">
        <f t="shared" si="27"/>
        <v>0</v>
      </c>
      <c r="AB42" s="84">
        <f t="shared" si="27"/>
        <v>0</v>
      </c>
      <c r="AC42" s="84">
        <f t="shared" si="27"/>
        <v>0</v>
      </c>
      <c r="AD42" s="84">
        <f t="shared" si="27"/>
        <v>0</v>
      </c>
      <c r="AE42" s="84">
        <f t="shared" si="27"/>
        <v>0</v>
      </c>
      <c r="AF42" s="84">
        <f t="shared" si="27"/>
        <v>0</v>
      </c>
      <c r="AG42" s="84">
        <f t="shared" si="27"/>
        <v>0</v>
      </c>
      <c r="AH42" s="84">
        <f t="shared" si="27"/>
        <v>0</v>
      </c>
      <c r="AI42" s="84">
        <f t="shared" si="27"/>
        <v>0</v>
      </c>
      <c r="AJ42" s="84">
        <f t="shared" si="27"/>
        <v>0</v>
      </c>
      <c r="AK42" s="84">
        <f t="shared" si="27"/>
        <v>0</v>
      </c>
      <c r="AL42" s="84">
        <f t="shared" si="27"/>
        <v>0</v>
      </c>
      <c r="AM42" s="84">
        <f t="shared" si="27"/>
        <v>0</v>
      </c>
      <c r="AN42" s="60"/>
      <c r="AO42" s="87">
        <f t="shared" si="12"/>
        <v>0</v>
      </c>
      <c r="AP42" s="60" t="b">
        <f t="shared" si="13"/>
        <v>1</v>
      </c>
    </row>
    <row r="43" spans="1:42" ht="12" customHeight="1" outlineLevel="1">
      <c r="A43" s="84">
        <v>15</v>
      </c>
      <c r="B43" s="60">
        <f t="shared" si="14"/>
        <v>2039</v>
      </c>
      <c r="C43" s="34">
        <v>0</v>
      </c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87">
        <f>IF(R$26,MIN($C43,MAX($C43/$C$25,$C43/(R$26/12))),0)</f>
        <v>0</v>
      </c>
      <c r="S43" s="84">
        <f t="shared" ref="S43:AM43" si="28">IF(AND(S$24-$A43&lt;$C$25,S$26&gt;0),R43*(S$25/12),0)</f>
        <v>0</v>
      </c>
      <c r="T43" s="84">
        <f t="shared" si="28"/>
        <v>0</v>
      </c>
      <c r="U43" s="84">
        <f t="shared" si="28"/>
        <v>0</v>
      </c>
      <c r="V43" s="84">
        <f t="shared" si="28"/>
        <v>0</v>
      </c>
      <c r="W43" s="84">
        <f t="shared" si="28"/>
        <v>0</v>
      </c>
      <c r="X43" s="84">
        <f t="shared" si="28"/>
        <v>0</v>
      </c>
      <c r="Y43" s="84">
        <f t="shared" si="28"/>
        <v>0</v>
      </c>
      <c r="Z43" s="84">
        <f t="shared" si="28"/>
        <v>0</v>
      </c>
      <c r="AA43" s="84">
        <f t="shared" si="28"/>
        <v>0</v>
      </c>
      <c r="AB43" s="84">
        <f t="shared" si="28"/>
        <v>0</v>
      </c>
      <c r="AC43" s="84">
        <f t="shared" si="28"/>
        <v>0</v>
      </c>
      <c r="AD43" s="84">
        <f t="shared" si="28"/>
        <v>0</v>
      </c>
      <c r="AE43" s="84">
        <f t="shared" si="28"/>
        <v>0</v>
      </c>
      <c r="AF43" s="84">
        <f t="shared" si="28"/>
        <v>0</v>
      </c>
      <c r="AG43" s="84">
        <f t="shared" si="28"/>
        <v>0</v>
      </c>
      <c r="AH43" s="84">
        <f t="shared" si="28"/>
        <v>0</v>
      </c>
      <c r="AI43" s="84">
        <f t="shared" si="28"/>
        <v>0</v>
      </c>
      <c r="AJ43" s="84">
        <f t="shared" si="28"/>
        <v>0</v>
      </c>
      <c r="AK43" s="84">
        <f t="shared" si="28"/>
        <v>0</v>
      </c>
      <c r="AL43" s="84">
        <f t="shared" si="28"/>
        <v>0</v>
      </c>
      <c r="AM43" s="84">
        <f t="shared" si="28"/>
        <v>0</v>
      </c>
      <c r="AN43" s="60"/>
      <c r="AO43" s="87">
        <f t="shared" si="12"/>
        <v>0</v>
      </c>
      <c r="AP43" s="60" t="b">
        <f t="shared" si="13"/>
        <v>1</v>
      </c>
    </row>
    <row r="44" spans="1:42" ht="12" customHeight="1" outlineLevel="1">
      <c r="A44" s="84">
        <v>16</v>
      </c>
      <c r="B44" s="60">
        <f t="shared" si="14"/>
        <v>2040</v>
      </c>
      <c r="C44" s="34">
        <v>0</v>
      </c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87">
        <f>IF(S$26,MIN($C44,MAX($C44/$C$25,$C44/(S$26/12))),0)</f>
        <v>0</v>
      </c>
      <c r="T44" s="84">
        <f t="shared" ref="T44:AM44" si="29">IF(AND(T$24-$A44&lt;$C$25,T$26&gt;0),S44*(T$25/12),0)</f>
        <v>0</v>
      </c>
      <c r="U44" s="84">
        <f t="shared" si="29"/>
        <v>0</v>
      </c>
      <c r="V44" s="84">
        <f t="shared" si="29"/>
        <v>0</v>
      </c>
      <c r="W44" s="84">
        <f t="shared" si="29"/>
        <v>0</v>
      </c>
      <c r="X44" s="84">
        <f t="shared" si="29"/>
        <v>0</v>
      </c>
      <c r="Y44" s="84">
        <f t="shared" si="29"/>
        <v>0</v>
      </c>
      <c r="Z44" s="84">
        <f t="shared" si="29"/>
        <v>0</v>
      </c>
      <c r="AA44" s="84">
        <f t="shared" si="29"/>
        <v>0</v>
      </c>
      <c r="AB44" s="84">
        <f t="shared" si="29"/>
        <v>0</v>
      </c>
      <c r="AC44" s="84">
        <f t="shared" si="29"/>
        <v>0</v>
      </c>
      <c r="AD44" s="84">
        <f t="shared" si="29"/>
        <v>0</v>
      </c>
      <c r="AE44" s="84">
        <f t="shared" si="29"/>
        <v>0</v>
      </c>
      <c r="AF44" s="84">
        <f t="shared" si="29"/>
        <v>0</v>
      </c>
      <c r="AG44" s="84">
        <f t="shared" si="29"/>
        <v>0</v>
      </c>
      <c r="AH44" s="84">
        <f t="shared" si="29"/>
        <v>0</v>
      </c>
      <c r="AI44" s="84">
        <f t="shared" si="29"/>
        <v>0</v>
      </c>
      <c r="AJ44" s="84">
        <f t="shared" si="29"/>
        <v>0</v>
      </c>
      <c r="AK44" s="84">
        <f t="shared" si="29"/>
        <v>0</v>
      </c>
      <c r="AL44" s="84">
        <f t="shared" si="29"/>
        <v>0</v>
      </c>
      <c r="AM44" s="84">
        <f t="shared" si="29"/>
        <v>0</v>
      </c>
      <c r="AN44" s="60"/>
      <c r="AO44" s="87">
        <f t="shared" si="12"/>
        <v>0</v>
      </c>
      <c r="AP44" s="60" t="b">
        <f t="shared" si="13"/>
        <v>1</v>
      </c>
    </row>
    <row r="45" spans="1:42" ht="12" customHeight="1" outlineLevel="1">
      <c r="A45" s="84">
        <v>17</v>
      </c>
      <c r="B45" s="60">
        <f t="shared" si="14"/>
        <v>2041</v>
      </c>
      <c r="C45" s="34">
        <v>0</v>
      </c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87">
        <f>IF(T$26,MIN($C45,MAX($C45/$C$25,$C45/(T$26/12))),0)</f>
        <v>0</v>
      </c>
      <c r="U45" s="84">
        <f t="shared" ref="U45:AM45" si="30">IF(AND(U$24-$A45&lt;$C$25,U$26&gt;0),T45*(U$25/12),0)</f>
        <v>0</v>
      </c>
      <c r="V45" s="84">
        <f t="shared" si="30"/>
        <v>0</v>
      </c>
      <c r="W45" s="84">
        <f t="shared" si="30"/>
        <v>0</v>
      </c>
      <c r="X45" s="84">
        <f t="shared" si="30"/>
        <v>0</v>
      </c>
      <c r="Y45" s="84">
        <f t="shared" si="30"/>
        <v>0</v>
      </c>
      <c r="Z45" s="84">
        <f t="shared" si="30"/>
        <v>0</v>
      </c>
      <c r="AA45" s="84">
        <f t="shared" si="30"/>
        <v>0</v>
      </c>
      <c r="AB45" s="84">
        <f t="shared" si="30"/>
        <v>0</v>
      </c>
      <c r="AC45" s="84">
        <f t="shared" si="30"/>
        <v>0</v>
      </c>
      <c r="AD45" s="84">
        <f t="shared" si="30"/>
        <v>0</v>
      </c>
      <c r="AE45" s="84">
        <f t="shared" si="30"/>
        <v>0</v>
      </c>
      <c r="AF45" s="84">
        <f t="shared" si="30"/>
        <v>0</v>
      </c>
      <c r="AG45" s="84">
        <f t="shared" si="30"/>
        <v>0</v>
      </c>
      <c r="AH45" s="84">
        <f t="shared" si="30"/>
        <v>0</v>
      </c>
      <c r="AI45" s="84">
        <f t="shared" si="30"/>
        <v>0</v>
      </c>
      <c r="AJ45" s="84">
        <f t="shared" si="30"/>
        <v>0</v>
      </c>
      <c r="AK45" s="84">
        <f t="shared" si="30"/>
        <v>0</v>
      </c>
      <c r="AL45" s="84">
        <f t="shared" si="30"/>
        <v>0</v>
      </c>
      <c r="AM45" s="84">
        <f t="shared" si="30"/>
        <v>0</v>
      </c>
      <c r="AN45" s="60"/>
      <c r="AO45" s="87">
        <f t="shared" si="12"/>
        <v>0</v>
      </c>
      <c r="AP45" s="60" t="b">
        <f t="shared" si="13"/>
        <v>1</v>
      </c>
    </row>
    <row r="46" spans="1:42" ht="12" customHeight="1" outlineLevel="1">
      <c r="A46" s="84">
        <v>18</v>
      </c>
      <c r="B46" s="60">
        <f t="shared" si="14"/>
        <v>2042</v>
      </c>
      <c r="C46" s="34">
        <v>0</v>
      </c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87">
        <f>IF(U$26,MIN($C46,MAX($C46/$C$25,$C46/(U$26/12))),0)</f>
        <v>0</v>
      </c>
      <c r="V46" s="84">
        <f t="shared" ref="V46:AM46" si="31">IF(AND(V$24-$A46&lt;$C$25,V$26&gt;0),U46*(V$25/12),0)</f>
        <v>0</v>
      </c>
      <c r="W46" s="84">
        <f t="shared" si="31"/>
        <v>0</v>
      </c>
      <c r="X46" s="84">
        <f t="shared" si="31"/>
        <v>0</v>
      </c>
      <c r="Y46" s="84">
        <f t="shared" si="31"/>
        <v>0</v>
      </c>
      <c r="Z46" s="84">
        <f t="shared" si="31"/>
        <v>0</v>
      </c>
      <c r="AA46" s="84">
        <f t="shared" si="31"/>
        <v>0</v>
      </c>
      <c r="AB46" s="84">
        <f t="shared" si="31"/>
        <v>0</v>
      </c>
      <c r="AC46" s="84">
        <f t="shared" si="31"/>
        <v>0</v>
      </c>
      <c r="AD46" s="84">
        <f t="shared" si="31"/>
        <v>0</v>
      </c>
      <c r="AE46" s="84">
        <f t="shared" si="31"/>
        <v>0</v>
      </c>
      <c r="AF46" s="84">
        <f t="shared" si="31"/>
        <v>0</v>
      </c>
      <c r="AG46" s="84">
        <f t="shared" si="31"/>
        <v>0</v>
      </c>
      <c r="AH46" s="84">
        <f t="shared" si="31"/>
        <v>0</v>
      </c>
      <c r="AI46" s="84">
        <f t="shared" si="31"/>
        <v>0</v>
      </c>
      <c r="AJ46" s="84">
        <f t="shared" si="31"/>
        <v>0</v>
      </c>
      <c r="AK46" s="84">
        <f t="shared" si="31"/>
        <v>0</v>
      </c>
      <c r="AL46" s="84">
        <f t="shared" si="31"/>
        <v>0</v>
      </c>
      <c r="AM46" s="84">
        <f t="shared" si="31"/>
        <v>0</v>
      </c>
      <c r="AN46" s="60"/>
      <c r="AO46" s="87">
        <f t="shared" si="12"/>
        <v>0</v>
      </c>
      <c r="AP46" s="60" t="b">
        <f t="shared" si="13"/>
        <v>1</v>
      </c>
    </row>
    <row r="47" spans="1:42" ht="12" customHeight="1" outlineLevel="1">
      <c r="A47" s="84">
        <v>19</v>
      </c>
      <c r="B47" s="60">
        <f t="shared" si="14"/>
        <v>2043</v>
      </c>
      <c r="C47" s="34">
        <v>0</v>
      </c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87">
        <f>IF(V$26,MIN($C47,MAX($C47/$C$25,$C47/(V$26/12))),0)</f>
        <v>0</v>
      </c>
      <c r="W47" s="84">
        <f t="shared" ref="W47:AM47" si="32">IF(AND(W$24-$A47&lt;$C$25,W$26&gt;0),V47*(W$25/12),0)</f>
        <v>0</v>
      </c>
      <c r="X47" s="84">
        <f t="shared" si="32"/>
        <v>0</v>
      </c>
      <c r="Y47" s="84">
        <f t="shared" si="32"/>
        <v>0</v>
      </c>
      <c r="Z47" s="84">
        <f t="shared" si="32"/>
        <v>0</v>
      </c>
      <c r="AA47" s="84">
        <f t="shared" si="32"/>
        <v>0</v>
      </c>
      <c r="AB47" s="84">
        <f t="shared" si="32"/>
        <v>0</v>
      </c>
      <c r="AC47" s="84">
        <f t="shared" si="32"/>
        <v>0</v>
      </c>
      <c r="AD47" s="84">
        <f t="shared" si="32"/>
        <v>0</v>
      </c>
      <c r="AE47" s="84">
        <f t="shared" si="32"/>
        <v>0</v>
      </c>
      <c r="AF47" s="84">
        <f t="shared" si="32"/>
        <v>0</v>
      </c>
      <c r="AG47" s="84">
        <f t="shared" si="32"/>
        <v>0</v>
      </c>
      <c r="AH47" s="84">
        <f t="shared" si="32"/>
        <v>0</v>
      </c>
      <c r="AI47" s="84">
        <f t="shared" si="32"/>
        <v>0</v>
      </c>
      <c r="AJ47" s="84">
        <f t="shared" si="32"/>
        <v>0</v>
      </c>
      <c r="AK47" s="84">
        <f t="shared" si="32"/>
        <v>0</v>
      </c>
      <c r="AL47" s="84">
        <f t="shared" si="32"/>
        <v>0</v>
      </c>
      <c r="AM47" s="84">
        <f t="shared" si="32"/>
        <v>0</v>
      </c>
      <c r="AN47" s="60"/>
      <c r="AO47" s="87">
        <f t="shared" si="12"/>
        <v>0</v>
      </c>
      <c r="AP47" s="60" t="b">
        <f t="shared" si="13"/>
        <v>1</v>
      </c>
    </row>
    <row r="48" spans="1:42" ht="12" customHeight="1" outlineLevel="1">
      <c r="A48" s="84">
        <v>20</v>
      </c>
      <c r="B48" s="60">
        <f t="shared" si="14"/>
        <v>2044</v>
      </c>
      <c r="C48" s="34">
        <v>0</v>
      </c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87">
        <f>IF(W$26,MIN($C48,MAX($C48/$C$25,$C48/(W$26/12))),0)</f>
        <v>0</v>
      </c>
      <c r="X48" s="84">
        <f t="shared" ref="X48:AM48" si="33">IF(AND(X$24-$A48&lt;$C$25,X$26&gt;0),W48*(X$25/12),0)</f>
        <v>0</v>
      </c>
      <c r="Y48" s="84">
        <f t="shared" si="33"/>
        <v>0</v>
      </c>
      <c r="Z48" s="84">
        <f t="shared" si="33"/>
        <v>0</v>
      </c>
      <c r="AA48" s="84">
        <f t="shared" si="33"/>
        <v>0</v>
      </c>
      <c r="AB48" s="84">
        <f t="shared" si="33"/>
        <v>0</v>
      </c>
      <c r="AC48" s="84">
        <f t="shared" si="33"/>
        <v>0</v>
      </c>
      <c r="AD48" s="84">
        <f t="shared" si="33"/>
        <v>0</v>
      </c>
      <c r="AE48" s="84">
        <f t="shared" si="33"/>
        <v>0</v>
      </c>
      <c r="AF48" s="84">
        <f t="shared" si="33"/>
        <v>0</v>
      </c>
      <c r="AG48" s="84">
        <f t="shared" si="33"/>
        <v>0</v>
      </c>
      <c r="AH48" s="84">
        <f t="shared" si="33"/>
        <v>0</v>
      </c>
      <c r="AI48" s="84">
        <f t="shared" si="33"/>
        <v>0</v>
      </c>
      <c r="AJ48" s="84">
        <f t="shared" si="33"/>
        <v>0</v>
      </c>
      <c r="AK48" s="84">
        <f t="shared" si="33"/>
        <v>0</v>
      </c>
      <c r="AL48" s="84">
        <f t="shared" si="33"/>
        <v>0</v>
      </c>
      <c r="AM48" s="84">
        <f t="shared" si="33"/>
        <v>0</v>
      </c>
      <c r="AN48" s="60"/>
      <c r="AO48" s="87">
        <f t="shared" si="12"/>
        <v>0</v>
      </c>
      <c r="AP48" s="60" t="b">
        <f t="shared" si="13"/>
        <v>1</v>
      </c>
    </row>
    <row r="49" spans="1:42" ht="12" customHeight="1" outlineLevel="1">
      <c r="A49" s="84">
        <v>21</v>
      </c>
      <c r="B49" s="60">
        <f t="shared" si="14"/>
        <v>2045</v>
      </c>
      <c r="C49" s="34">
        <v>0</v>
      </c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87">
        <f>IF(X$26,MIN($C49,MAX($C49/$C$25,$C49/(X$26/12))),0)</f>
        <v>0</v>
      </c>
      <c r="Y49" s="84">
        <f t="shared" ref="Y49:AM49" si="34">IF(AND(Y$24-$A49&lt;$C$25,Y$26&gt;0),X49*(Y$25/12),0)</f>
        <v>0</v>
      </c>
      <c r="Z49" s="84">
        <f t="shared" si="34"/>
        <v>0</v>
      </c>
      <c r="AA49" s="84">
        <f t="shared" si="34"/>
        <v>0</v>
      </c>
      <c r="AB49" s="84">
        <f t="shared" si="34"/>
        <v>0</v>
      </c>
      <c r="AC49" s="84">
        <f t="shared" si="34"/>
        <v>0</v>
      </c>
      <c r="AD49" s="84">
        <f t="shared" si="34"/>
        <v>0</v>
      </c>
      <c r="AE49" s="84">
        <f t="shared" si="34"/>
        <v>0</v>
      </c>
      <c r="AF49" s="84">
        <f t="shared" si="34"/>
        <v>0</v>
      </c>
      <c r="AG49" s="84">
        <f t="shared" si="34"/>
        <v>0</v>
      </c>
      <c r="AH49" s="84">
        <f t="shared" si="34"/>
        <v>0</v>
      </c>
      <c r="AI49" s="84">
        <f t="shared" si="34"/>
        <v>0</v>
      </c>
      <c r="AJ49" s="84">
        <f t="shared" si="34"/>
        <v>0</v>
      </c>
      <c r="AK49" s="84">
        <f t="shared" si="34"/>
        <v>0</v>
      </c>
      <c r="AL49" s="84">
        <f t="shared" si="34"/>
        <v>0</v>
      </c>
      <c r="AM49" s="84">
        <f t="shared" si="34"/>
        <v>0</v>
      </c>
      <c r="AN49" s="60"/>
      <c r="AO49" s="87">
        <f t="shared" si="12"/>
        <v>0</v>
      </c>
      <c r="AP49" s="60" t="b">
        <f t="shared" si="13"/>
        <v>1</v>
      </c>
    </row>
    <row r="50" spans="1:42" ht="12" customHeight="1" outlineLevel="1">
      <c r="A50" s="84">
        <v>22</v>
      </c>
      <c r="B50" s="60">
        <f t="shared" si="14"/>
        <v>2046</v>
      </c>
      <c r="C50" s="34">
        <v>0</v>
      </c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87">
        <f>IF(Y$26,MIN($C50,MAX($C50/$C$25,$C50/(Y$26/12))),0)</f>
        <v>0</v>
      </c>
      <c r="Z50" s="84">
        <f t="shared" ref="Z50:AM50" si="35">IF(AND(Z$24-$A50&lt;$C$25,Z$26&gt;0),Y50*(Z$25/12),0)</f>
        <v>0</v>
      </c>
      <c r="AA50" s="84">
        <f t="shared" si="35"/>
        <v>0</v>
      </c>
      <c r="AB50" s="84">
        <f t="shared" si="35"/>
        <v>0</v>
      </c>
      <c r="AC50" s="84">
        <f t="shared" si="35"/>
        <v>0</v>
      </c>
      <c r="AD50" s="84">
        <f t="shared" si="35"/>
        <v>0</v>
      </c>
      <c r="AE50" s="84">
        <f t="shared" si="35"/>
        <v>0</v>
      </c>
      <c r="AF50" s="84">
        <f t="shared" si="35"/>
        <v>0</v>
      </c>
      <c r="AG50" s="84">
        <f t="shared" si="35"/>
        <v>0</v>
      </c>
      <c r="AH50" s="84">
        <f t="shared" si="35"/>
        <v>0</v>
      </c>
      <c r="AI50" s="84">
        <f t="shared" si="35"/>
        <v>0</v>
      </c>
      <c r="AJ50" s="84">
        <f t="shared" si="35"/>
        <v>0</v>
      </c>
      <c r="AK50" s="84">
        <f t="shared" si="35"/>
        <v>0</v>
      </c>
      <c r="AL50" s="84">
        <f t="shared" si="35"/>
        <v>0</v>
      </c>
      <c r="AM50" s="84">
        <f t="shared" si="35"/>
        <v>0</v>
      </c>
      <c r="AN50" s="60"/>
      <c r="AO50" s="87">
        <f t="shared" si="12"/>
        <v>0</v>
      </c>
      <c r="AP50" s="60" t="b">
        <f t="shared" si="13"/>
        <v>1</v>
      </c>
    </row>
    <row r="51" spans="1:42" ht="12" customHeight="1" outlineLevel="1">
      <c r="A51" s="84">
        <v>23</v>
      </c>
      <c r="B51" s="60">
        <f t="shared" si="14"/>
        <v>2047</v>
      </c>
      <c r="C51" s="34">
        <v>0</v>
      </c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87">
        <f>IF(Z$26,MIN($C51,MAX($C51/$C$25,$C51/(Z$26/12))),0)</f>
        <v>0</v>
      </c>
      <c r="AA51" s="84">
        <f t="shared" ref="AA51:AM51" si="36">IF(AND(AA$24-$A51&lt;$C$25,AA$26&gt;0),Z51*(AA$25/12),0)</f>
        <v>0</v>
      </c>
      <c r="AB51" s="84">
        <f t="shared" si="36"/>
        <v>0</v>
      </c>
      <c r="AC51" s="84">
        <f t="shared" si="36"/>
        <v>0</v>
      </c>
      <c r="AD51" s="84">
        <f t="shared" si="36"/>
        <v>0</v>
      </c>
      <c r="AE51" s="84">
        <f t="shared" si="36"/>
        <v>0</v>
      </c>
      <c r="AF51" s="84">
        <f t="shared" si="36"/>
        <v>0</v>
      </c>
      <c r="AG51" s="84">
        <f t="shared" si="36"/>
        <v>0</v>
      </c>
      <c r="AH51" s="84">
        <f t="shared" si="36"/>
        <v>0</v>
      </c>
      <c r="AI51" s="84">
        <f t="shared" si="36"/>
        <v>0</v>
      </c>
      <c r="AJ51" s="84">
        <f t="shared" si="36"/>
        <v>0</v>
      </c>
      <c r="AK51" s="84">
        <f t="shared" si="36"/>
        <v>0</v>
      </c>
      <c r="AL51" s="84">
        <f t="shared" si="36"/>
        <v>0</v>
      </c>
      <c r="AM51" s="84">
        <f t="shared" si="36"/>
        <v>0</v>
      </c>
      <c r="AN51" s="60"/>
      <c r="AO51" s="87">
        <f t="shared" si="12"/>
        <v>0</v>
      </c>
      <c r="AP51" s="60" t="b">
        <f t="shared" si="13"/>
        <v>1</v>
      </c>
    </row>
    <row r="52" spans="1:42" ht="12" customHeight="1" outlineLevel="1">
      <c r="A52" s="84">
        <v>24</v>
      </c>
      <c r="B52" s="60">
        <f t="shared" si="14"/>
        <v>2048</v>
      </c>
      <c r="C52" s="34">
        <v>0</v>
      </c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87">
        <f>IF(AA$26,MIN($C52,MAX($C52/$C$25,$C52/(AA$26/12))),0)</f>
        <v>0</v>
      </c>
      <c r="AB52" s="84">
        <f t="shared" ref="AB52:AM52" si="37">IF(AND(AB$24-$A52&lt;$C$25,AB$26&gt;0),AA52*(AB$25/12),0)</f>
        <v>0</v>
      </c>
      <c r="AC52" s="84">
        <f t="shared" si="37"/>
        <v>0</v>
      </c>
      <c r="AD52" s="84">
        <f t="shared" si="37"/>
        <v>0</v>
      </c>
      <c r="AE52" s="84">
        <f t="shared" si="37"/>
        <v>0</v>
      </c>
      <c r="AF52" s="84">
        <f t="shared" si="37"/>
        <v>0</v>
      </c>
      <c r="AG52" s="84">
        <f t="shared" si="37"/>
        <v>0</v>
      </c>
      <c r="AH52" s="84">
        <f t="shared" si="37"/>
        <v>0</v>
      </c>
      <c r="AI52" s="84">
        <f t="shared" si="37"/>
        <v>0</v>
      </c>
      <c r="AJ52" s="84">
        <f t="shared" si="37"/>
        <v>0</v>
      </c>
      <c r="AK52" s="84">
        <f t="shared" si="37"/>
        <v>0</v>
      </c>
      <c r="AL52" s="84">
        <f t="shared" si="37"/>
        <v>0</v>
      </c>
      <c r="AM52" s="84">
        <f t="shared" si="37"/>
        <v>0</v>
      </c>
      <c r="AN52" s="60"/>
      <c r="AO52" s="87">
        <f t="shared" si="12"/>
        <v>0</v>
      </c>
      <c r="AP52" s="60" t="b">
        <f t="shared" si="13"/>
        <v>1</v>
      </c>
    </row>
    <row r="53" spans="1:42" ht="12" customHeight="1" outlineLevel="1">
      <c r="A53" s="84">
        <v>25</v>
      </c>
      <c r="B53" s="60">
        <f t="shared" si="14"/>
        <v>2049</v>
      </c>
      <c r="C53" s="34">
        <v>0</v>
      </c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87">
        <f>IF(AB$26,MIN($C53,MAX($C53/$C$25,$C53/(AB$26/12))),0)</f>
        <v>0</v>
      </c>
      <c r="AC53" s="84">
        <f t="shared" ref="AC53:AM53" si="38">IF(AND(AC$24-$A53&lt;$C$25,AC$26&gt;0),AB53*(AC$25/12),0)</f>
        <v>0</v>
      </c>
      <c r="AD53" s="84">
        <f t="shared" si="38"/>
        <v>0</v>
      </c>
      <c r="AE53" s="84">
        <f t="shared" si="38"/>
        <v>0</v>
      </c>
      <c r="AF53" s="84">
        <f t="shared" si="38"/>
        <v>0</v>
      </c>
      <c r="AG53" s="84">
        <f t="shared" si="38"/>
        <v>0</v>
      </c>
      <c r="AH53" s="84">
        <f t="shared" si="38"/>
        <v>0</v>
      </c>
      <c r="AI53" s="84">
        <f t="shared" si="38"/>
        <v>0</v>
      </c>
      <c r="AJ53" s="84">
        <f t="shared" si="38"/>
        <v>0</v>
      </c>
      <c r="AK53" s="84">
        <f t="shared" si="38"/>
        <v>0</v>
      </c>
      <c r="AL53" s="84">
        <f t="shared" si="38"/>
        <v>0</v>
      </c>
      <c r="AM53" s="84">
        <f t="shared" si="38"/>
        <v>0</v>
      </c>
      <c r="AN53" s="60"/>
      <c r="AO53" s="87">
        <f t="shared" si="12"/>
        <v>0</v>
      </c>
      <c r="AP53" s="60" t="b">
        <f t="shared" si="13"/>
        <v>1</v>
      </c>
    </row>
    <row r="54" spans="1:42" ht="12" customHeight="1" outlineLevel="1">
      <c r="A54" s="84">
        <v>26</v>
      </c>
      <c r="B54" s="60">
        <f t="shared" si="14"/>
        <v>2050</v>
      </c>
      <c r="C54" s="34">
        <v>0</v>
      </c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87">
        <f>IF(AC$26,MIN($C54,MAX($C54/$C$25,$C54/(AC$26/12))),0)</f>
        <v>0</v>
      </c>
      <c r="AD54" s="84">
        <f t="shared" ref="AD54:AM54" si="39">IF(AND(AD$24-$A54&lt;$C$25,AD$26&gt;0),AC54*(AD$25/12),0)</f>
        <v>0</v>
      </c>
      <c r="AE54" s="84">
        <f t="shared" si="39"/>
        <v>0</v>
      </c>
      <c r="AF54" s="84">
        <f t="shared" si="39"/>
        <v>0</v>
      </c>
      <c r="AG54" s="84">
        <f t="shared" si="39"/>
        <v>0</v>
      </c>
      <c r="AH54" s="84">
        <f t="shared" si="39"/>
        <v>0</v>
      </c>
      <c r="AI54" s="84">
        <f t="shared" si="39"/>
        <v>0</v>
      </c>
      <c r="AJ54" s="84">
        <f t="shared" si="39"/>
        <v>0</v>
      </c>
      <c r="AK54" s="84">
        <f t="shared" si="39"/>
        <v>0</v>
      </c>
      <c r="AL54" s="84">
        <f t="shared" si="39"/>
        <v>0</v>
      </c>
      <c r="AM54" s="84">
        <f t="shared" si="39"/>
        <v>0</v>
      </c>
      <c r="AN54" s="60"/>
      <c r="AO54" s="87">
        <f t="shared" si="12"/>
        <v>0</v>
      </c>
      <c r="AP54" s="60" t="b">
        <f t="shared" si="13"/>
        <v>1</v>
      </c>
    </row>
    <row r="55" spans="1:42" ht="12" customHeight="1" outlineLevel="1">
      <c r="A55" s="84">
        <v>27</v>
      </c>
      <c r="B55" s="60">
        <f t="shared" si="14"/>
        <v>2051</v>
      </c>
      <c r="C55" s="34">
        <v>0</v>
      </c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87">
        <f>IF(AD$26,MIN($C55,MAX($C55/$C$25,$C55/(AD$26/12))),0)</f>
        <v>0</v>
      </c>
      <c r="AE55" s="84">
        <f t="shared" ref="AE55:AM55" si="40">IF(AND(AE$24-$A55&lt;$C$25,AE$26&gt;0),AD55*(AE$25/12),0)</f>
        <v>0</v>
      </c>
      <c r="AF55" s="84">
        <f t="shared" si="40"/>
        <v>0</v>
      </c>
      <c r="AG55" s="84">
        <f t="shared" si="40"/>
        <v>0</v>
      </c>
      <c r="AH55" s="84">
        <f t="shared" si="40"/>
        <v>0</v>
      </c>
      <c r="AI55" s="84">
        <f t="shared" si="40"/>
        <v>0</v>
      </c>
      <c r="AJ55" s="84">
        <f t="shared" si="40"/>
        <v>0</v>
      </c>
      <c r="AK55" s="84">
        <f t="shared" si="40"/>
        <v>0</v>
      </c>
      <c r="AL55" s="84">
        <f t="shared" si="40"/>
        <v>0</v>
      </c>
      <c r="AM55" s="84">
        <f t="shared" si="40"/>
        <v>0</v>
      </c>
      <c r="AN55" s="60"/>
      <c r="AO55" s="87">
        <f t="shared" si="12"/>
        <v>0</v>
      </c>
      <c r="AP55" s="60" t="b">
        <f t="shared" si="13"/>
        <v>1</v>
      </c>
    </row>
    <row r="56" spans="1:42" ht="12" customHeight="1" outlineLevel="1">
      <c r="A56" s="84">
        <v>28</v>
      </c>
      <c r="B56" s="60">
        <f t="shared" si="14"/>
        <v>2052</v>
      </c>
      <c r="C56" s="34">
        <v>0</v>
      </c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87">
        <f>IF(AE$26,MIN($C56,MAX($C56/$C$25,$C56/(AE$26/12))),0)</f>
        <v>0</v>
      </c>
      <c r="AF56" s="84">
        <f t="shared" ref="AF56:AM56" si="41">IF(AND(AF$24-$A56&lt;$C$25,AF$26&gt;0),AE56*(AF$25/12),0)</f>
        <v>0</v>
      </c>
      <c r="AG56" s="84">
        <f t="shared" si="41"/>
        <v>0</v>
      </c>
      <c r="AH56" s="84">
        <f t="shared" si="41"/>
        <v>0</v>
      </c>
      <c r="AI56" s="84">
        <f t="shared" si="41"/>
        <v>0</v>
      </c>
      <c r="AJ56" s="84">
        <f t="shared" si="41"/>
        <v>0</v>
      </c>
      <c r="AK56" s="84">
        <f t="shared" si="41"/>
        <v>0</v>
      </c>
      <c r="AL56" s="84">
        <f t="shared" si="41"/>
        <v>0</v>
      </c>
      <c r="AM56" s="84">
        <f t="shared" si="41"/>
        <v>0</v>
      </c>
      <c r="AN56" s="60"/>
      <c r="AO56" s="87">
        <f t="shared" si="12"/>
        <v>0</v>
      </c>
      <c r="AP56" s="60" t="b">
        <f t="shared" si="13"/>
        <v>1</v>
      </c>
    </row>
    <row r="57" spans="1:42" ht="12" customHeight="1" outlineLevel="1">
      <c r="A57" s="84">
        <v>29</v>
      </c>
      <c r="B57" s="60">
        <f t="shared" si="14"/>
        <v>2053</v>
      </c>
      <c r="C57" s="34">
        <v>0</v>
      </c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87">
        <f>IF(AF$26,MIN($C57,MAX($C57/$C$25,$C57/(AF$26/12))),0)</f>
        <v>0</v>
      </c>
      <c r="AG57" s="84">
        <f t="shared" ref="AG57:AM57" si="42">IF(AND(AG$24-$A57&lt;$C$25,AG$26&gt;0),AF57*(AG$25/12),0)</f>
        <v>0</v>
      </c>
      <c r="AH57" s="84">
        <f t="shared" si="42"/>
        <v>0</v>
      </c>
      <c r="AI57" s="84">
        <f t="shared" si="42"/>
        <v>0</v>
      </c>
      <c r="AJ57" s="84">
        <f t="shared" si="42"/>
        <v>0</v>
      </c>
      <c r="AK57" s="84">
        <f t="shared" si="42"/>
        <v>0</v>
      </c>
      <c r="AL57" s="84">
        <f t="shared" si="42"/>
        <v>0</v>
      </c>
      <c r="AM57" s="84">
        <f t="shared" si="42"/>
        <v>0</v>
      </c>
      <c r="AN57" s="60"/>
      <c r="AO57" s="87">
        <f t="shared" si="12"/>
        <v>0</v>
      </c>
      <c r="AP57" s="60" t="b">
        <f t="shared" si="13"/>
        <v>1</v>
      </c>
    </row>
    <row r="58" spans="1:42" ht="12" customHeight="1" outlineLevel="1">
      <c r="A58" s="84">
        <v>30</v>
      </c>
      <c r="B58" s="60">
        <f t="shared" si="14"/>
        <v>2054</v>
      </c>
      <c r="C58" s="34">
        <v>0</v>
      </c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87">
        <f>IF(AG$26,MIN($C58,MAX($C58/$C$25,$C58/(AG$26/12))),0)</f>
        <v>0</v>
      </c>
      <c r="AH58" s="84">
        <f t="shared" ref="AH58:AM58" si="43">IF(AND(AH$24-$A58&lt;$C$25,AH$26&gt;0),AG58*(AH$25/12),0)</f>
        <v>0</v>
      </c>
      <c r="AI58" s="84">
        <f t="shared" si="43"/>
        <v>0</v>
      </c>
      <c r="AJ58" s="84">
        <f t="shared" si="43"/>
        <v>0</v>
      </c>
      <c r="AK58" s="84">
        <f t="shared" si="43"/>
        <v>0</v>
      </c>
      <c r="AL58" s="84">
        <f t="shared" si="43"/>
        <v>0</v>
      </c>
      <c r="AM58" s="84">
        <f t="shared" si="43"/>
        <v>0</v>
      </c>
      <c r="AN58" s="60"/>
      <c r="AO58" s="87">
        <f t="shared" si="12"/>
        <v>0</v>
      </c>
      <c r="AP58" s="60" t="b">
        <f t="shared" si="13"/>
        <v>1</v>
      </c>
    </row>
    <row r="59" spans="1:42" ht="12" customHeight="1" outlineLevel="1">
      <c r="A59" s="84">
        <v>31</v>
      </c>
      <c r="B59" s="60">
        <f t="shared" si="14"/>
        <v>2055</v>
      </c>
      <c r="C59" s="34">
        <v>0</v>
      </c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87">
        <f>IF(AH$26,MIN($C59,MAX($C59/$C$25,$C59/(AH$26/12))),0)</f>
        <v>0</v>
      </c>
      <c r="AI59" s="84">
        <f>IF(AND(AI$24-$A59&lt;$C$25,AI$26&gt;0),AH59*(AI$25/12),0)</f>
        <v>0</v>
      </c>
      <c r="AJ59" s="84">
        <f>IF(AND(AJ$24-$A59&lt;$C$25,AJ$26&gt;0),AI59*(AJ$25/12),0)</f>
        <v>0</v>
      </c>
      <c r="AK59" s="84">
        <f>IF(AND(AK$24-$A59&lt;$C$25,AK$26&gt;0),AJ59*(AK$25/12),0)</f>
        <v>0</v>
      </c>
      <c r="AL59" s="84">
        <f>IF(AND(AL$24-$A59&lt;$C$25,AL$26&gt;0),AK59*(AL$25/12),0)</f>
        <v>0</v>
      </c>
      <c r="AM59" s="84">
        <f>IF(AND(AM$24-$A59&lt;$C$25,AM$26&gt;0),AL59*(AM$25/12),0)</f>
        <v>0</v>
      </c>
      <c r="AN59" s="60"/>
      <c r="AO59" s="87">
        <f t="shared" si="12"/>
        <v>0</v>
      </c>
      <c r="AP59" s="60" t="b">
        <f t="shared" si="13"/>
        <v>1</v>
      </c>
    </row>
    <row r="60" spans="1:42" ht="12" customHeight="1" outlineLevel="1">
      <c r="A60" s="84">
        <v>32</v>
      </c>
      <c r="B60" s="60">
        <f t="shared" si="14"/>
        <v>2056</v>
      </c>
      <c r="C60" s="34">
        <v>0</v>
      </c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87">
        <f>IF(AI$26,MIN($C60,MAX($C60/$C$25,$C60/(AI$26/12))),0)</f>
        <v>0</v>
      </c>
      <c r="AJ60" s="84">
        <f>IF(AND(AJ$24-$A60&lt;$C$25,AJ$26&gt;0),AI60*(AJ$25/12),0)</f>
        <v>0</v>
      </c>
      <c r="AK60" s="84">
        <f>IF(AND(AK$24-$A60&lt;$C$25,AK$26&gt;0),AJ60*(AK$25/12),0)</f>
        <v>0</v>
      </c>
      <c r="AL60" s="84">
        <f>IF(AND(AL$24-$A60&lt;$C$25,AL$26&gt;0),AK60*(AL$25/12),0)</f>
        <v>0</v>
      </c>
      <c r="AM60" s="84">
        <f>IF(AND(AM$24-$A60&lt;$C$25,AM$26&gt;0),AL60*(AM$25/12),0)</f>
        <v>0</v>
      </c>
      <c r="AN60" s="60"/>
      <c r="AO60" s="87">
        <f t="shared" si="12"/>
        <v>0</v>
      </c>
      <c r="AP60" s="60" t="b">
        <f t="shared" si="13"/>
        <v>1</v>
      </c>
    </row>
    <row r="61" spans="1:42" ht="12" customHeight="1" outlineLevel="1">
      <c r="A61" s="84">
        <v>33</v>
      </c>
      <c r="B61" s="60">
        <f t="shared" si="14"/>
        <v>2057</v>
      </c>
      <c r="C61" s="34">
        <v>0</v>
      </c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87">
        <f>IF(AJ$26,MIN($C61,MAX($C61/$C$25,$C61/(AJ$26/12))),0)</f>
        <v>0</v>
      </c>
      <c r="AK61" s="84">
        <f>IF(AND(AK$24-$A61&lt;$C$25,AK$26&gt;0),AJ61*(AK$25/12),0)</f>
        <v>0</v>
      </c>
      <c r="AL61" s="84">
        <f>IF(AND(AL$24-$A61&lt;$C$25,AL$26&gt;0),AK61*(AL$25/12),0)</f>
        <v>0</v>
      </c>
      <c r="AM61" s="84">
        <f>IF(AND(AM$24-$A61&lt;$C$25,AM$26&gt;0),AL61*(AM$25/12),0)</f>
        <v>0</v>
      </c>
      <c r="AN61" s="60"/>
      <c r="AO61" s="87">
        <f t="shared" si="12"/>
        <v>0</v>
      </c>
      <c r="AP61" s="60" t="b">
        <f t="shared" si="13"/>
        <v>1</v>
      </c>
    </row>
    <row r="62" spans="1:42" ht="12" customHeight="1" outlineLevel="1">
      <c r="A62" s="84">
        <v>34</v>
      </c>
      <c r="B62" s="60">
        <f t="shared" si="14"/>
        <v>2058</v>
      </c>
      <c r="C62" s="34">
        <v>0</v>
      </c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87">
        <f>IF(AK$26,MIN($C62,MAX($C62/$C$25,$C62/(AK$26/12))),0)</f>
        <v>0</v>
      </c>
      <c r="AL62" s="84">
        <f>IF(AND(AL$24-$A62&lt;$C$25,AL$26&gt;0),AK62*(AL$25/12),0)</f>
        <v>0</v>
      </c>
      <c r="AM62" s="84">
        <f>IF(AND(AM$24-$A62&lt;$C$25,AM$26&gt;0),AL62*(AM$25/12),0)</f>
        <v>0</v>
      </c>
      <c r="AN62" s="60"/>
      <c r="AO62" s="87">
        <f t="shared" si="12"/>
        <v>0</v>
      </c>
      <c r="AP62" s="60" t="b">
        <f t="shared" si="13"/>
        <v>1</v>
      </c>
    </row>
    <row r="63" spans="1:42" ht="12" customHeight="1" outlineLevel="1">
      <c r="A63" s="84">
        <v>35</v>
      </c>
      <c r="B63" s="60">
        <f t="shared" si="14"/>
        <v>2059</v>
      </c>
      <c r="C63" s="34">
        <v>0</v>
      </c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87">
        <f>IF(AL$26,MIN($C63,MAX($C63/$C$25,$C63/(AL$26/12))),0)</f>
        <v>0</v>
      </c>
      <c r="AM63" s="84">
        <f>IF(AND(AM$24-$A63&lt;$C$25,AM$26&gt;0),AL63*(AM$25/12),0)</f>
        <v>0</v>
      </c>
      <c r="AN63" s="60"/>
      <c r="AO63" s="87">
        <f t="shared" si="12"/>
        <v>0</v>
      </c>
      <c r="AP63" s="60" t="b">
        <f t="shared" si="13"/>
        <v>1</v>
      </c>
    </row>
    <row r="64" spans="1:42" ht="12" customHeight="1" outlineLevel="1">
      <c r="A64" s="128">
        <v>36</v>
      </c>
      <c r="B64" s="129">
        <f t="shared" si="14"/>
        <v>2060</v>
      </c>
      <c r="C64" s="130">
        <v>0</v>
      </c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31"/>
      <c r="AM64" s="131">
        <f>IF(AM$26,MIN($C64,MAX($C64/$C$25,$C64/(AM$26/12))),0)</f>
        <v>0</v>
      </c>
      <c r="AN64" s="60"/>
      <c r="AO64" s="131">
        <f t="shared" si="12"/>
        <v>0</v>
      </c>
      <c r="AP64" s="129" t="b">
        <f t="shared" si="13"/>
        <v>1</v>
      </c>
    </row>
    <row r="65" spans="1:42" ht="12" customHeight="1">
      <c r="A65" s="84"/>
      <c r="B65" s="60"/>
      <c r="C65" s="132">
        <f>SUM(C29:C63)</f>
        <v>15573.565366000003</v>
      </c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87">
        <f>SUM(AO29:AO64)</f>
        <v>15573.565366000003</v>
      </c>
      <c r="AP65" s="60" t="b">
        <f t="shared" si="13"/>
        <v>1</v>
      </c>
    </row>
    <row r="66" spans="1:42" ht="12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</row>
    <row r="67" spans="1:42" ht="12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</row>
    <row r="68" spans="1:42" ht="12" customHeight="1">
      <c r="A68" s="60"/>
      <c r="B68" s="60"/>
      <c r="C68" s="121" t="s">
        <v>458</v>
      </c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</row>
    <row r="69" spans="1:42" ht="12" customHeight="1">
      <c r="A69" s="60"/>
      <c r="B69" s="60"/>
      <c r="C69" s="122">
        <v>10</v>
      </c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</row>
    <row r="70" spans="1:42" ht="12" customHeight="1">
      <c r="A70" s="60"/>
      <c r="B70" s="60"/>
      <c r="C70" s="121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</row>
    <row r="71" spans="1:42" ht="12" customHeight="1">
      <c r="A71" s="123"/>
      <c r="B71" s="124" t="s">
        <v>459</v>
      </c>
      <c r="C71" s="125"/>
      <c r="D71" s="119">
        <f>SUMIF(CAPEX!$B$12:$B$16,Amt!$C$69,CAPEX!E$12:E$16)</f>
        <v>0</v>
      </c>
      <c r="E71" s="119">
        <f>SUMIF(CAPEX!$B$12:$B$16,Amt!$C$69,CAPEX!F$12:F$16)</f>
        <v>0</v>
      </c>
      <c r="F71" s="119">
        <f>SUMIF(CAPEX!$B$12:$B$16,Amt!$C$69,CAPEX!G$12:G$16)</f>
        <v>0</v>
      </c>
      <c r="G71" s="119">
        <f>SUMIF(CAPEX!$B$12:$B$16,Amt!$C$69,CAPEX!H$12:H$16)</f>
        <v>0</v>
      </c>
      <c r="H71" s="119">
        <f>SUMIF(CAPEX!$B$12:$B$16,Amt!$C$69,CAPEX!I$12:I$16)</f>
        <v>0</v>
      </c>
      <c r="I71" s="119">
        <f>SUMIF(CAPEX!$B$12:$B$16,Amt!$C$69,CAPEX!J$12:J$16)</f>
        <v>0</v>
      </c>
      <c r="J71" s="119">
        <f>SUMIF(CAPEX!$B$12:$B$16,Amt!$C$69,CAPEX!K$12:K$16)</f>
        <v>0</v>
      </c>
      <c r="K71" s="119">
        <f>SUMIF(CAPEX!$B$12:$B$16,Amt!$C$69,CAPEX!L$12:L$16)</f>
        <v>0</v>
      </c>
      <c r="L71" s="119">
        <f>SUMIF(CAPEX!$B$12:$B$16,Amt!$C$69,CAPEX!M$12:M$16)</f>
        <v>0</v>
      </c>
      <c r="M71" s="119">
        <f>SUMIF(CAPEX!$B$12:$B$16,Amt!$C$69,CAPEX!N$12:N$16)</f>
        <v>0</v>
      </c>
      <c r="N71" s="119">
        <f>SUMIF(CAPEX!$B$12:$B$16,Amt!$C$69,CAPEX!O$12:O$16)</f>
        <v>0</v>
      </c>
      <c r="O71" s="119">
        <f>SUMIF(CAPEX!$B$12:$B$16,Amt!$C$69,CAPEX!P$12:P$16)</f>
        <v>0</v>
      </c>
      <c r="P71" s="119">
        <f>SUMIF(CAPEX!$B$12:$B$16,Amt!$C$69,CAPEX!Q$12:Q$16)</f>
        <v>0</v>
      </c>
      <c r="Q71" s="119">
        <f>SUMIF(CAPEX!$B$12:$B$16,Amt!$C$69,CAPEX!R$12:R$16)</f>
        <v>0</v>
      </c>
      <c r="R71" s="119">
        <f>SUMIF(CAPEX!$B$12:$B$16,Amt!$C$69,CAPEX!S$12:S$16)</f>
        <v>0</v>
      </c>
      <c r="S71" s="119">
        <f>SUMIF(CAPEX!$B$12:$B$16,Amt!$C$69,CAPEX!T$12:T$16)</f>
        <v>0</v>
      </c>
      <c r="T71" s="119">
        <f>SUMIF(CAPEX!$B$12:$B$16,Amt!$C$69,CAPEX!U$12:U$16)</f>
        <v>0</v>
      </c>
      <c r="U71" s="119">
        <f>SUMIF(CAPEX!$B$12:$B$16,Amt!$C$69,CAPEX!V$12:V$16)</f>
        <v>0</v>
      </c>
      <c r="V71" s="119">
        <f>SUMIF(CAPEX!$B$12:$B$16,Amt!$C$69,CAPEX!W$12:W$16)</f>
        <v>0</v>
      </c>
      <c r="W71" s="119">
        <f>SUMIF(CAPEX!$B$12:$B$16,Amt!$C$69,CAPEX!X$12:X$16)</f>
        <v>0</v>
      </c>
      <c r="X71" s="119">
        <f>SUMIF(CAPEX!$B$12:$B$16,Amt!$C$69,CAPEX!Y$12:Y$16)</f>
        <v>0</v>
      </c>
      <c r="Y71" s="119">
        <f>SUMIF(CAPEX!$B$12:$B$16,Amt!$C$69,CAPEX!Z$12:Z$16)</f>
        <v>0</v>
      </c>
      <c r="Z71" s="119">
        <f>SUMIF(CAPEX!$B$12:$B$16,Amt!$C$69,CAPEX!AA$12:AA$16)</f>
        <v>0</v>
      </c>
      <c r="AA71" s="119">
        <f>SUMIF(CAPEX!$B$12:$B$16,Amt!$C$69,CAPEX!AB$12:AB$16)</f>
        <v>0</v>
      </c>
      <c r="AB71" s="119">
        <f>SUMIF(CAPEX!$B$12:$B$16,Amt!$C$69,CAPEX!AC$12:AC$16)</f>
        <v>0</v>
      </c>
      <c r="AC71" s="119">
        <f>SUMIF(CAPEX!$B$12:$B$16,Amt!$C$69,CAPEX!AD$12:AD$16)</f>
        <v>0</v>
      </c>
      <c r="AD71" s="119">
        <f>SUMIF(CAPEX!$B$12:$B$16,Amt!$C$69,CAPEX!AE$12:AE$16)</f>
        <v>0</v>
      </c>
      <c r="AE71" s="119">
        <f>SUMIF(CAPEX!$B$12:$B$16,Amt!$C$69,CAPEX!AF$12:AF$16)</f>
        <v>0</v>
      </c>
      <c r="AF71" s="119">
        <f>SUMIF(CAPEX!$B$12:$B$16,Amt!$C$69,CAPEX!AG$12:AG$16)</f>
        <v>0</v>
      </c>
      <c r="AG71" s="119">
        <f>SUMIF(CAPEX!$B$12:$B$16,Amt!$C$69,CAPEX!AH$12:AH$16)</f>
        <v>0</v>
      </c>
      <c r="AH71" s="119">
        <f>SUMIF(CAPEX!$B$12:$B$16,Amt!$C$69,CAPEX!AI$12:AI$16)</f>
        <v>0</v>
      </c>
      <c r="AI71" s="119">
        <f>SUMIF(CAPEX!$B$12:$B$16,Amt!$C$69,CAPEX!AJ$12:AJ$16)</f>
        <v>0</v>
      </c>
      <c r="AJ71" s="119">
        <f>SUMIF(CAPEX!$B$12:$B$16,Amt!$C$69,CAPEX!AK$12:AK$16)</f>
        <v>0</v>
      </c>
      <c r="AK71" s="119">
        <f>SUMIF(CAPEX!$B$12:$B$16,Amt!$C$69,CAPEX!AL$12:AL$16)</f>
        <v>0</v>
      </c>
      <c r="AL71" s="119">
        <f>SUMIF(CAPEX!$B$12:$B$16,Amt!$C$69,CAPEX!AM$12:AM$16)</f>
        <v>0</v>
      </c>
      <c r="AM71" s="119">
        <f>SUMIF(CAPEX!$B$12:$B$16,Amt!$C$69,CAPEX!AN$12:AN$16)</f>
        <v>0</v>
      </c>
      <c r="AN71" s="60"/>
      <c r="AO71" s="60"/>
      <c r="AP71" s="60"/>
    </row>
    <row r="72" spans="1:42" ht="12" customHeight="1">
      <c r="A72" s="60"/>
      <c r="B72" s="124" t="s">
        <v>124</v>
      </c>
      <c r="C72" s="125"/>
      <c r="D72" s="119">
        <f t="shared" ref="D72:AM72" si="44">SUM(D73:D107)</f>
        <v>0</v>
      </c>
      <c r="E72" s="119">
        <f t="shared" si="44"/>
        <v>0</v>
      </c>
      <c r="F72" s="119">
        <f t="shared" si="44"/>
        <v>0</v>
      </c>
      <c r="G72" s="119">
        <f t="shared" si="44"/>
        <v>0</v>
      </c>
      <c r="H72" s="119">
        <f t="shared" si="44"/>
        <v>0</v>
      </c>
      <c r="I72" s="119">
        <f t="shared" si="44"/>
        <v>0</v>
      </c>
      <c r="J72" s="119">
        <f t="shared" si="44"/>
        <v>0</v>
      </c>
      <c r="K72" s="119">
        <f t="shared" si="44"/>
        <v>0</v>
      </c>
      <c r="L72" s="119">
        <f t="shared" si="44"/>
        <v>0</v>
      </c>
      <c r="M72" s="119">
        <f t="shared" si="44"/>
        <v>0</v>
      </c>
      <c r="N72" s="119">
        <f t="shared" si="44"/>
        <v>0</v>
      </c>
      <c r="O72" s="119">
        <f t="shared" si="44"/>
        <v>0</v>
      </c>
      <c r="P72" s="119">
        <f t="shared" si="44"/>
        <v>0</v>
      </c>
      <c r="Q72" s="119">
        <f t="shared" si="44"/>
        <v>0</v>
      </c>
      <c r="R72" s="119">
        <f t="shared" si="44"/>
        <v>0</v>
      </c>
      <c r="S72" s="119">
        <f t="shared" si="44"/>
        <v>0</v>
      </c>
      <c r="T72" s="119">
        <f t="shared" si="44"/>
        <v>0</v>
      </c>
      <c r="U72" s="119">
        <f t="shared" si="44"/>
        <v>0</v>
      </c>
      <c r="V72" s="119">
        <f t="shared" si="44"/>
        <v>0</v>
      </c>
      <c r="W72" s="119">
        <f t="shared" si="44"/>
        <v>0</v>
      </c>
      <c r="X72" s="119">
        <f t="shared" si="44"/>
        <v>0</v>
      </c>
      <c r="Y72" s="119">
        <f t="shared" si="44"/>
        <v>0</v>
      </c>
      <c r="Z72" s="119">
        <f t="shared" si="44"/>
        <v>0</v>
      </c>
      <c r="AA72" s="119">
        <f t="shared" si="44"/>
        <v>0</v>
      </c>
      <c r="AB72" s="119">
        <f t="shared" si="44"/>
        <v>0</v>
      </c>
      <c r="AC72" s="119">
        <f t="shared" si="44"/>
        <v>0</v>
      </c>
      <c r="AD72" s="119">
        <f t="shared" si="44"/>
        <v>0</v>
      </c>
      <c r="AE72" s="119">
        <f t="shared" si="44"/>
        <v>0</v>
      </c>
      <c r="AF72" s="119">
        <f t="shared" si="44"/>
        <v>0</v>
      </c>
      <c r="AG72" s="119">
        <f t="shared" si="44"/>
        <v>0</v>
      </c>
      <c r="AH72" s="119">
        <f t="shared" si="44"/>
        <v>0</v>
      </c>
      <c r="AI72" s="119">
        <f t="shared" si="44"/>
        <v>0</v>
      </c>
      <c r="AJ72" s="119">
        <f t="shared" si="44"/>
        <v>0</v>
      </c>
      <c r="AK72" s="119">
        <f t="shared" si="44"/>
        <v>0</v>
      </c>
      <c r="AL72" s="119">
        <f t="shared" si="44"/>
        <v>0</v>
      </c>
      <c r="AM72" s="119">
        <f t="shared" si="44"/>
        <v>0</v>
      </c>
      <c r="AN72" s="60"/>
      <c r="AO72" s="60"/>
      <c r="AP72" s="60"/>
    </row>
    <row r="73" spans="1:42" ht="12" customHeight="1" outlineLevel="1">
      <c r="A73" s="84">
        <v>1</v>
      </c>
      <c r="B73" s="60">
        <f>$D$1</f>
        <v>2025</v>
      </c>
      <c r="C73" s="34">
        <f t="array" ref="C73:C108">TRANSPOSE(D71:AM71)</f>
        <v>0</v>
      </c>
      <c r="D73" s="87">
        <f>IF(D$26,MIN($C73,MAX($C73/$C$69,$C73/(D$26/12))),0)</f>
        <v>0</v>
      </c>
      <c r="E73" s="84">
        <f t="shared" ref="E73:AM73" si="45">IF(AND(E$24-$A73&lt;$C$69,E$26&gt;0),D73*(E$25/12),0)</f>
        <v>0</v>
      </c>
      <c r="F73" s="84">
        <f t="shared" si="45"/>
        <v>0</v>
      </c>
      <c r="G73" s="84">
        <f t="shared" si="45"/>
        <v>0</v>
      </c>
      <c r="H73" s="84">
        <f t="shared" si="45"/>
        <v>0</v>
      </c>
      <c r="I73" s="84">
        <f t="shared" si="45"/>
        <v>0</v>
      </c>
      <c r="J73" s="84">
        <f t="shared" si="45"/>
        <v>0</v>
      </c>
      <c r="K73" s="84">
        <f t="shared" si="45"/>
        <v>0</v>
      </c>
      <c r="L73" s="84">
        <f t="shared" si="45"/>
        <v>0</v>
      </c>
      <c r="M73" s="84">
        <f t="shared" si="45"/>
        <v>0</v>
      </c>
      <c r="N73" s="84">
        <f t="shared" si="45"/>
        <v>0</v>
      </c>
      <c r="O73" s="84">
        <f t="shared" si="45"/>
        <v>0</v>
      </c>
      <c r="P73" s="84">
        <f t="shared" si="45"/>
        <v>0</v>
      </c>
      <c r="Q73" s="84">
        <f t="shared" si="45"/>
        <v>0</v>
      </c>
      <c r="R73" s="84">
        <f t="shared" si="45"/>
        <v>0</v>
      </c>
      <c r="S73" s="84">
        <f t="shared" si="45"/>
        <v>0</v>
      </c>
      <c r="T73" s="84">
        <f t="shared" si="45"/>
        <v>0</v>
      </c>
      <c r="U73" s="84">
        <f t="shared" si="45"/>
        <v>0</v>
      </c>
      <c r="V73" s="84">
        <f t="shared" si="45"/>
        <v>0</v>
      </c>
      <c r="W73" s="84">
        <f t="shared" si="45"/>
        <v>0</v>
      </c>
      <c r="X73" s="84">
        <f t="shared" si="45"/>
        <v>0</v>
      </c>
      <c r="Y73" s="84">
        <f t="shared" si="45"/>
        <v>0</v>
      </c>
      <c r="Z73" s="84">
        <f t="shared" si="45"/>
        <v>0</v>
      </c>
      <c r="AA73" s="84">
        <f t="shared" si="45"/>
        <v>0</v>
      </c>
      <c r="AB73" s="84">
        <f t="shared" si="45"/>
        <v>0</v>
      </c>
      <c r="AC73" s="84">
        <f t="shared" si="45"/>
        <v>0</v>
      </c>
      <c r="AD73" s="84">
        <f t="shared" si="45"/>
        <v>0</v>
      </c>
      <c r="AE73" s="84">
        <f t="shared" si="45"/>
        <v>0</v>
      </c>
      <c r="AF73" s="84">
        <f t="shared" si="45"/>
        <v>0</v>
      </c>
      <c r="AG73" s="84">
        <f t="shared" si="45"/>
        <v>0</v>
      </c>
      <c r="AH73" s="84">
        <f t="shared" si="45"/>
        <v>0</v>
      </c>
      <c r="AI73" s="84">
        <f t="shared" si="45"/>
        <v>0</v>
      </c>
      <c r="AJ73" s="84">
        <f t="shared" si="45"/>
        <v>0</v>
      </c>
      <c r="AK73" s="84">
        <f t="shared" si="45"/>
        <v>0</v>
      </c>
      <c r="AL73" s="84">
        <f t="shared" si="45"/>
        <v>0</v>
      </c>
      <c r="AM73" s="84">
        <f t="shared" si="45"/>
        <v>0</v>
      </c>
      <c r="AN73" s="60"/>
      <c r="AO73" s="126">
        <f t="shared" ref="AO73:AO108" si="46">SUM(D73:AM73)</f>
        <v>0</v>
      </c>
      <c r="AP73" s="127" t="b">
        <f t="shared" ref="AP73:AP109" si="47">AO73=C73</f>
        <v>1</v>
      </c>
    </row>
    <row r="74" spans="1:42" ht="12" customHeight="1" outlineLevel="1">
      <c r="A74" s="84">
        <v>2</v>
      </c>
      <c r="B74" s="60">
        <f t="shared" ref="B74:B108" si="48">B73+1</f>
        <v>2026</v>
      </c>
      <c r="C74" s="34">
        <v>0</v>
      </c>
      <c r="D74" s="60"/>
      <c r="E74" s="87">
        <f>IF(E$26,MIN($C74,MAX($C74/$C$69,$C74/(E$26/12))),0)</f>
        <v>0</v>
      </c>
      <c r="F74" s="84">
        <f t="shared" ref="F74:AM74" si="49">IF(AND(F$24-$A74&lt;$C$69,F$26&gt;0),E74*(F$25/12),0)</f>
        <v>0</v>
      </c>
      <c r="G74" s="84">
        <f t="shared" si="49"/>
        <v>0</v>
      </c>
      <c r="H74" s="84">
        <f t="shared" si="49"/>
        <v>0</v>
      </c>
      <c r="I74" s="84">
        <f t="shared" si="49"/>
        <v>0</v>
      </c>
      <c r="J74" s="84">
        <f t="shared" si="49"/>
        <v>0</v>
      </c>
      <c r="K74" s="84">
        <f t="shared" si="49"/>
        <v>0</v>
      </c>
      <c r="L74" s="84">
        <f t="shared" si="49"/>
        <v>0</v>
      </c>
      <c r="M74" s="84">
        <f t="shared" si="49"/>
        <v>0</v>
      </c>
      <c r="N74" s="84">
        <f t="shared" si="49"/>
        <v>0</v>
      </c>
      <c r="O74" s="84">
        <f t="shared" si="49"/>
        <v>0</v>
      </c>
      <c r="P74" s="84">
        <f t="shared" si="49"/>
        <v>0</v>
      </c>
      <c r="Q74" s="84">
        <f t="shared" si="49"/>
        <v>0</v>
      </c>
      <c r="R74" s="84">
        <f t="shared" si="49"/>
        <v>0</v>
      </c>
      <c r="S74" s="84">
        <f t="shared" si="49"/>
        <v>0</v>
      </c>
      <c r="T74" s="84">
        <f t="shared" si="49"/>
        <v>0</v>
      </c>
      <c r="U74" s="84">
        <f t="shared" si="49"/>
        <v>0</v>
      </c>
      <c r="V74" s="84">
        <f t="shared" si="49"/>
        <v>0</v>
      </c>
      <c r="W74" s="84">
        <f t="shared" si="49"/>
        <v>0</v>
      </c>
      <c r="X74" s="84">
        <f t="shared" si="49"/>
        <v>0</v>
      </c>
      <c r="Y74" s="84">
        <f t="shared" si="49"/>
        <v>0</v>
      </c>
      <c r="Z74" s="84">
        <f t="shared" si="49"/>
        <v>0</v>
      </c>
      <c r="AA74" s="84">
        <f t="shared" si="49"/>
        <v>0</v>
      </c>
      <c r="AB74" s="84">
        <f t="shared" si="49"/>
        <v>0</v>
      </c>
      <c r="AC74" s="84">
        <f t="shared" si="49"/>
        <v>0</v>
      </c>
      <c r="AD74" s="84">
        <f t="shared" si="49"/>
        <v>0</v>
      </c>
      <c r="AE74" s="84">
        <f t="shared" si="49"/>
        <v>0</v>
      </c>
      <c r="AF74" s="84">
        <f t="shared" si="49"/>
        <v>0</v>
      </c>
      <c r="AG74" s="84">
        <f t="shared" si="49"/>
        <v>0</v>
      </c>
      <c r="AH74" s="84">
        <f t="shared" si="49"/>
        <v>0</v>
      </c>
      <c r="AI74" s="84">
        <f t="shared" si="49"/>
        <v>0</v>
      </c>
      <c r="AJ74" s="84">
        <f t="shared" si="49"/>
        <v>0</v>
      </c>
      <c r="AK74" s="84">
        <f t="shared" si="49"/>
        <v>0</v>
      </c>
      <c r="AL74" s="84">
        <f t="shared" si="49"/>
        <v>0</v>
      </c>
      <c r="AM74" s="84">
        <f t="shared" si="49"/>
        <v>0</v>
      </c>
      <c r="AN74" s="60"/>
      <c r="AO74" s="87">
        <f t="shared" si="46"/>
        <v>0</v>
      </c>
      <c r="AP74" s="60" t="b">
        <f t="shared" si="47"/>
        <v>1</v>
      </c>
    </row>
    <row r="75" spans="1:42" ht="12" customHeight="1" outlineLevel="1">
      <c r="A75" s="84">
        <v>3</v>
      </c>
      <c r="B75" s="60">
        <f t="shared" si="48"/>
        <v>2027</v>
      </c>
      <c r="C75" s="34">
        <v>0</v>
      </c>
      <c r="D75" s="60"/>
      <c r="E75" s="60"/>
      <c r="F75" s="87">
        <f>IF(F$26,MIN($C75,MAX($C75/$C$69,$C75/(F$26/12))),0)</f>
        <v>0</v>
      </c>
      <c r="G75" s="84">
        <f t="shared" ref="G75:AM75" si="50">IF(AND(G$24-$A75&lt;$C$69,G$26&gt;0),F75*(G$25/12),0)</f>
        <v>0</v>
      </c>
      <c r="H75" s="84">
        <f t="shared" si="50"/>
        <v>0</v>
      </c>
      <c r="I75" s="84">
        <f t="shared" si="50"/>
        <v>0</v>
      </c>
      <c r="J75" s="84">
        <f t="shared" si="50"/>
        <v>0</v>
      </c>
      <c r="K75" s="84">
        <f t="shared" si="50"/>
        <v>0</v>
      </c>
      <c r="L75" s="84">
        <f t="shared" si="50"/>
        <v>0</v>
      </c>
      <c r="M75" s="84">
        <f t="shared" si="50"/>
        <v>0</v>
      </c>
      <c r="N75" s="84">
        <f t="shared" si="50"/>
        <v>0</v>
      </c>
      <c r="O75" s="84">
        <f t="shared" si="50"/>
        <v>0</v>
      </c>
      <c r="P75" s="84">
        <f t="shared" si="50"/>
        <v>0</v>
      </c>
      <c r="Q75" s="84">
        <f t="shared" si="50"/>
        <v>0</v>
      </c>
      <c r="R75" s="84">
        <f t="shared" si="50"/>
        <v>0</v>
      </c>
      <c r="S75" s="84">
        <f t="shared" si="50"/>
        <v>0</v>
      </c>
      <c r="T75" s="84">
        <f t="shared" si="50"/>
        <v>0</v>
      </c>
      <c r="U75" s="84">
        <f t="shared" si="50"/>
        <v>0</v>
      </c>
      <c r="V75" s="84">
        <f t="shared" si="50"/>
        <v>0</v>
      </c>
      <c r="W75" s="84">
        <f t="shared" si="50"/>
        <v>0</v>
      </c>
      <c r="X75" s="84">
        <f t="shared" si="50"/>
        <v>0</v>
      </c>
      <c r="Y75" s="84">
        <f t="shared" si="50"/>
        <v>0</v>
      </c>
      <c r="Z75" s="84">
        <f t="shared" si="50"/>
        <v>0</v>
      </c>
      <c r="AA75" s="84">
        <f t="shared" si="50"/>
        <v>0</v>
      </c>
      <c r="AB75" s="84">
        <f t="shared" si="50"/>
        <v>0</v>
      </c>
      <c r="AC75" s="84">
        <f t="shared" si="50"/>
        <v>0</v>
      </c>
      <c r="AD75" s="84">
        <f t="shared" si="50"/>
        <v>0</v>
      </c>
      <c r="AE75" s="84">
        <f t="shared" si="50"/>
        <v>0</v>
      </c>
      <c r="AF75" s="84">
        <f t="shared" si="50"/>
        <v>0</v>
      </c>
      <c r="AG75" s="84">
        <f t="shared" si="50"/>
        <v>0</v>
      </c>
      <c r="AH75" s="84">
        <f t="shared" si="50"/>
        <v>0</v>
      </c>
      <c r="AI75" s="84">
        <f t="shared" si="50"/>
        <v>0</v>
      </c>
      <c r="AJ75" s="84">
        <f t="shared" si="50"/>
        <v>0</v>
      </c>
      <c r="AK75" s="84">
        <f t="shared" si="50"/>
        <v>0</v>
      </c>
      <c r="AL75" s="84">
        <f t="shared" si="50"/>
        <v>0</v>
      </c>
      <c r="AM75" s="84">
        <f t="shared" si="50"/>
        <v>0</v>
      </c>
      <c r="AN75" s="60"/>
      <c r="AO75" s="87">
        <f t="shared" si="46"/>
        <v>0</v>
      </c>
      <c r="AP75" s="60" t="b">
        <f t="shared" si="47"/>
        <v>1</v>
      </c>
    </row>
    <row r="76" spans="1:42" ht="12" customHeight="1" outlineLevel="1">
      <c r="A76" s="84">
        <v>4</v>
      </c>
      <c r="B76" s="60">
        <f t="shared" si="48"/>
        <v>2028</v>
      </c>
      <c r="C76" s="34">
        <v>0</v>
      </c>
      <c r="D76" s="60"/>
      <c r="E76" s="60"/>
      <c r="F76" s="60"/>
      <c r="G76" s="87">
        <f>IF(G$26,MIN($C76,MAX($C76/$C$69,$C76/(G$26/12))),0)</f>
        <v>0</v>
      </c>
      <c r="H76" s="84">
        <f t="shared" ref="H76:AM76" si="51">IF(AND(H$24-$A76&lt;$C$69,H$26&gt;0),G76*(H$25/12),0)</f>
        <v>0</v>
      </c>
      <c r="I76" s="84">
        <f t="shared" si="51"/>
        <v>0</v>
      </c>
      <c r="J76" s="84">
        <f t="shared" si="51"/>
        <v>0</v>
      </c>
      <c r="K76" s="84">
        <f t="shared" si="51"/>
        <v>0</v>
      </c>
      <c r="L76" s="84">
        <f t="shared" si="51"/>
        <v>0</v>
      </c>
      <c r="M76" s="84">
        <f t="shared" si="51"/>
        <v>0</v>
      </c>
      <c r="N76" s="84">
        <f t="shared" si="51"/>
        <v>0</v>
      </c>
      <c r="O76" s="84">
        <f t="shared" si="51"/>
        <v>0</v>
      </c>
      <c r="P76" s="84">
        <f t="shared" si="51"/>
        <v>0</v>
      </c>
      <c r="Q76" s="84">
        <f t="shared" si="51"/>
        <v>0</v>
      </c>
      <c r="R76" s="84">
        <f t="shared" si="51"/>
        <v>0</v>
      </c>
      <c r="S76" s="84">
        <f t="shared" si="51"/>
        <v>0</v>
      </c>
      <c r="T76" s="84">
        <f t="shared" si="51"/>
        <v>0</v>
      </c>
      <c r="U76" s="84">
        <f t="shared" si="51"/>
        <v>0</v>
      </c>
      <c r="V76" s="84">
        <f t="shared" si="51"/>
        <v>0</v>
      </c>
      <c r="W76" s="84">
        <f t="shared" si="51"/>
        <v>0</v>
      </c>
      <c r="X76" s="84">
        <f t="shared" si="51"/>
        <v>0</v>
      </c>
      <c r="Y76" s="84">
        <f t="shared" si="51"/>
        <v>0</v>
      </c>
      <c r="Z76" s="84">
        <f t="shared" si="51"/>
        <v>0</v>
      </c>
      <c r="AA76" s="84">
        <f t="shared" si="51"/>
        <v>0</v>
      </c>
      <c r="AB76" s="84">
        <f t="shared" si="51"/>
        <v>0</v>
      </c>
      <c r="AC76" s="84">
        <f t="shared" si="51"/>
        <v>0</v>
      </c>
      <c r="AD76" s="84">
        <f t="shared" si="51"/>
        <v>0</v>
      </c>
      <c r="AE76" s="84">
        <f t="shared" si="51"/>
        <v>0</v>
      </c>
      <c r="AF76" s="84">
        <f t="shared" si="51"/>
        <v>0</v>
      </c>
      <c r="AG76" s="84">
        <f t="shared" si="51"/>
        <v>0</v>
      </c>
      <c r="AH76" s="84">
        <f t="shared" si="51"/>
        <v>0</v>
      </c>
      <c r="AI76" s="84">
        <f t="shared" si="51"/>
        <v>0</v>
      </c>
      <c r="AJ76" s="84">
        <f t="shared" si="51"/>
        <v>0</v>
      </c>
      <c r="AK76" s="84">
        <f t="shared" si="51"/>
        <v>0</v>
      </c>
      <c r="AL76" s="84">
        <f t="shared" si="51"/>
        <v>0</v>
      </c>
      <c r="AM76" s="84">
        <f t="shared" si="51"/>
        <v>0</v>
      </c>
      <c r="AN76" s="60"/>
      <c r="AO76" s="87">
        <f t="shared" si="46"/>
        <v>0</v>
      </c>
      <c r="AP76" s="60" t="b">
        <f t="shared" si="47"/>
        <v>1</v>
      </c>
    </row>
    <row r="77" spans="1:42" ht="12" customHeight="1" outlineLevel="1">
      <c r="A77" s="84">
        <v>5</v>
      </c>
      <c r="B77" s="60">
        <f t="shared" si="48"/>
        <v>2029</v>
      </c>
      <c r="C77" s="34">
        <v>0</v>
      </c>
      <c r="D77" s="60"/>
      <c r="E77" s="60"/>
      <c r="F77" s="60"/>
      <c r="G77" s="60"/>
      <c r="H77" s="87">
        <f>IF(H$26,MIN($C77,MAX($C77/$C$69,$C77/(H$26/12))),0)</f>
        <v>0</v>
      </c>
      <c r="I77" s="84">
        <f t="shared" ref="I77:AM77" si="52">IF(AND(I$24-$A77&lt;$C$69,I$26&gt;0),H77*(I$25/12),0)</f>
        <v>0</v>
      </c>
      <c r="J77" s="84">
        <f t="shared" si="52"/>
        <v>0</v>
      </c>
      <c r="K77" s="84">
        <f t="shared" si="52"/>
        <v>0</v>
      </c>
      <c r="L77" s="84">
        <f t="shared" si="52"/>
        <v>0</v>
      </c>
      <c r="M77" s="84">
        <f t="shared" si="52"/>
        <v>0</v>
      </c>
      <c r="N77" s="84">
        <f t="shared" si="52"/>
        <v>0</v>
      </c>
      <c r="O77" s="84">
        <f t="shared" si="52"/>
        <v>0</v>
      </c>
      <c r="P77" s="84">
        <f t="shared" si="52"/>
        <v>0</v>
      </c>
      <c r="Q77" s="84">
        <f t="shared" si="52"/>
        <v>0</v>
      </c>
      <c r="R77" s="84">
        <f t="shared" si="52"/>
        <v>0</v>
      </c>
      <c r="S77" s="84">
        <f t="shared" si="52"/>
        <v>0</v>
      </c>
      <c r="T77" s="84">
        <f t="shared" si="52"/>
        <v>0</v>
      </c>
      <c r="U77" s="84">
        <f t="shared" si="52"/>
        <v>0</v>
      </c>
      <c r="V77" s="84">
        <f t="shared" si="52"/>
        <v>0</v>
      </c>
      <c r="W77" s="84">
        <f t="shared" si="52"/>
        <v>0</v>
      </c>
      <c r="X77" s="84">
        <f t="shared" si="52"/>
        <v>0</v>
      </c>
      <c r="Y77" s="84">
        <f t="shared" si="52"/>
        <v>0</v>
      </c>
      <c r="Z77" s="84">
        <f t="shared" si="52"/>
        <v>0</v>
      </c>
      <c r="AA77" s="84">
        <f t="shared" si="52"/>
        <v>0</v>
      </c>
      <c r="AB77" s="84">
        <f t="shared" si="52"/>
        <v>0</v>
      </c>
      <c r="AC77" s="84">
        <f t="shared" si="52"/>
        <v>0</v>
      </c>
      <c r="AD77" s="84">
        <f t="shared" si="52"/>
        <v>0</v>
      </c>
      <c r="AE77" s="84">
        <f t="shared" si="52"/>
        <v>0</v>
      </c>
      <c r="AF77" s="84">
        <f t="shared" si="52"/>
        <v>0</v>
      </c>
      <c r="AG77" s="84">
        <f t="shared" si="52"/>
        <v>0</v>
      </c>
      <c r="AH77" s="84">
        <f t="shared" si="52"/>
        <v>0</v>
      </c>
      <c r="AI77" s="84">
        <f t="shared" si="52"/>
        <v>0</v>
      </c>
      <c r="AJ77" s="84">
        <f t="shared" si="52"/>
        <v>0</v>
      </c>
      <c r="AK77" s="84">
        <f t="shared" si="52"/>
        <v>0</v>
      </c>
      <c r="AL77" s="84">
        <f t="shared" si="52"/>
        <v>0</v>
      </c>
      <c r="AM77" s="84">
        <f t="shared" si="52"/>
        <v>0</v>
      </c>
      <c r="AN77" s="60"/>
      <c r="AO77" s="87">
        <f t="shared" si="46"/>
        <v>0</v>
      </c>
      <c r="AP77" s="60" t="b">
        <f t="shared" si="47"/>
        <v>1</v>
      </c>
    </row>
    <row r="78" spans="1:42" ht="12" customHeight="1" outlineLevel="1">
      <c r="A78" s="84">
        <v>6</v>
      </c>
      <c r="B78" s="60">
        <f t="shared" si="48"/>
        <v>2030</v>
      </c>
      <c r="C78" s="34">
        <v>0</v>
      </c>
      <c r="D78" s="60"/>
      <c r="E78" s="60"/>
      <c r="F78" s="60"/>
      <c r="G78" s="60"/>
      <c r="H78" s="60"/>
      <c r="I78" s="87">
        <f>IF(I$26,MIN($C78,MAX($C78/$C$69,$C78/(I$26/12))),0)</f>
        <v>0</v>
      </c>
      <c r="J78" s="84">
        <f t="shared" ref="J78:AM78" si="53">IF(AND(J$24-$A78&lt;$C$69,J$26&gt;0),I78*(J$25/12),0)</f>
        <v>0</v>
      </c>
      <c r="K78" s="84">
        <f t="shared" si="53"/>
        <v>0</v>
      </c>
      <c r="L78" s="84">
        <f t="shared" si="53"/>
        <v>0</v>
      </c>
      <c r="M78" s="84">
        <f t="shared" si="53"/>
        <v>0</v>
      </c>
      <c r="N78" s="84">
        <f t="shared" si="53"/>
        <v>0</v>
      </c>
      <c r="O78" s="84">
        <f t="shared" si="53"/>
        <v>0</v>
      </c>
      <c r="P78" s="84">
        <f t="shared" si="53"/>
        <v>0</v>
      </c>
      <c r="Q78" s="84">
        <f t="shared" si="53"/>
        <v>0</v>
      </c>
      <c r="R78" s="84">
        <f t="shared" si="53"/>
        <v>0</v>
      </c>
      <c r="S78" s="84">
        <f t="shared" si="53"/>
        <v>0</v>
      </c>
      <c r="T78" s="84">
        <f t="shared" si="53"/>
        <v>0</v>
      </c>
      <c r="U78" s="84">
        <f t="shared" si="53"/>
        <v>0</v>
      </c>
      <c r="V78" s="84">
        <f t="shared" si="53"/>
        <v>0</v>
      </c>
      <c r="W78" s="84">
        <f t="shared" si="53"/>
        <v>0</v>
      </c>
      <c r="X78" s="84">
        <f t="shared" si="53"/>
        <v>0</v>
      </c>
      <c r="Y78" s="84">
        <f t="shared" si="53"/>
        <v>0</v>
      </c>
      <c r="Z78" s="84">
        <f t="shared" si="53"/>
        <v>0</v>
      </c>
      <c r="AA78" s="84">
        <f t="shared" si="53"/>
        <v>0</v>
      </c>
      <c r="AB78" s="84">
        <f t="shared" si="53"/>
        <v>0</v>
      </c>
      <c r="AC78" s="84">
        <f t="shared" si="53"/>
        <v>0</v>
      </c>
      <c r="AD78" s="84">
        <f t="shared" si="53"/>
        <v>0</v>
      </c>
      <c r="AE78" s="84">
        <f t="shared" si="53"/>
        <v>0</v>
      </c>
      <c r="AF78" s="84">
        <f t="shared" si="53"/>
        <v>0</v>
      </c>
      <c r="AG78" s="84">
        <f t="shared" si="53"/>
        <v>0</v>
      </c>
      <c r="AH78" s="84">
        <f t="shared" si="53"/>
        <v>0</v>
      </c>
      <c r="AI78" s="84">
        <f t="shared" si="53"/>
        <v>0</v>
      </c>
      <c r="AJ78" s="84">
        <f t="shared" si="53"/>
        <v>0</v>
      </c>
      <c r="AK78" s="84">
        <f t="shared" si="53"/>
        <v>0</v>
      </c>
      <c r="AL78" s="84">
        <f t="shared" si="53"/>
        <v>0</v>
      </c>
      <c r="AM78" s="84">
        <f t="shared" si="53"/>
        <v>0</v>
      </c>
      <c r="AN78" s="60"/>
      <c r="AO78" s="87">
        <f t="shared" si="46"/>
        <v>0</v>
      </c>
      <c r="AP78" s="60" t="b">
        <f t="shared" si="47"/>
        <v>1</v>
      </c>
    </row>
    <row r="79" spans="1:42" ht="12" customHeight="1" outlineLevel="1">
      <c r="A79" s="84">
        <v>7</v>
      </c>
      <c r="B79" s="60">
        <f t="shared" si="48"/>
        <v>2031</v>
      </c>
      <c r="C79" s="34">
        <v>0</v>
      </c>
      <c r="D79" s="60"/>
      <c r="E79" s="60"/>
      <c r="F79" s="60"/>
      <c r="G79" s="60"/>
      <c r="H79" s="60"/>
      <c r="I79" s="60"/>
      <c r="J79" s="87">
        <f>IF(J$26,MIN($C79,MAX($C79/$C$69,$C79/(J$26/12))),0)</f>
        <v>0</v>
      </c>
      <c r="K79" s="84">
        <f t="shared" ref="K79:AM79" si="54">IF(AND(K$24-$A79&lt;$C$69,K$26&gt;0),J79*(K$25/12),0)</f>
        <v>0</v>
      </c>
      <c r="L79" s="84">
        <f t="shared" si="54"/>
        <v>0</v>
      </c>
      <c r="M79" s="84">
        <f t="shared" si="54"/>
        <v>0</v>
      </c>
      <c r="N79" s="84">
        <f t="shared" si="54"/>
        <v>0</v>
      </c>
      <c r="O79" s="84">
        <f t="shared" si="54"/>
        <v>0</v>
      </c>
      <c r="P79" s="84">
        <f t="shared" si="54"/>
        <v>0</v>
      </c>
      <c r="Q79" s="84">
        <f t="shared" si="54"/>
        <v>0</v>
      </c>
      <c r="R79" s="84">
        <f t="shared" si="54"/>
        <v>0</v>
      </c>
      <c r="S79" s="84">
        <f t="shared" si="54"/>
        <v>0</v>
      </c>
      <c r="T79" s="84">
        <f t="shared" si="54"/>
        <v>0</v>
      </c>
      <c r="U79" s="84">
        <f t="shared" si="54"/>
        <v>0</v>
      </c>
      <c r="V79" s="84">
        <f t="shared" si="54"/>
        <v>0</v>
      </c>
      <c r="W79" s="84">
        <f t="shared" si="54"/>
        <v>0</v>
      </c>
      <c r="X79" s="84">
        <f t="shared" si="54"/>
        <v>0</v>
      </c>
      <c r="Y79" s="84">
        <f t="shared" si="54"/>
        <v>0</v>
      </c>
      <c r="Z79" s="84">
        <f t="shared" si="54"/>
        <v>0</v>
      </c>
      <c r="AA79" s="84">
        <f t="shared" si="54"/>
        <v>0</v>
      </c>
      <c r="AB79" s="84">
        <f t="shared" si="54"/>
        <v>0</v>
      </c>
      <c r="AC79" s="84">
        <f t="shared" si="54"/>
        <v>0</v>
      </c>
      <c r="AD79" s="84">
        <f t="shared" si="54"/>
        <v>0</v>
      </c>
      <c r="AE79" s="84">
        <f t="shared" si="54"/>
        <v>0</v>
      </c>
      <c r="AF79" s="84">
        <f t="shared" si="54"/>
        <v>0</v>
      </c>
      <c r="AG79" s="84">
        <f t="shared" si="54"/>
        <v>0</v>
      </c>
      <c r="AH79" s="84">
        <f t="shared" si="54"/>
        <v>0</v>
      </c>
      <c r="AI79" s="84">
        <f t="shared" si="54"/>
        <v>0</v>
      </c>
      <c r="AJ79" s="84">
        <f t="shared" si="54"/>
        <v>0</v>
      </c>
      <c r="AK79" s="84">
        <f t="shared" si="54"/>
        <v>0</v>
      </c>
      <c r="AL79" s="84">
        <f t="shared" si="54"/>
        <v>0</v>
      </c>
      <c r="AM79" s="84">
        <f t="shared" si="54"/>
        <v>0</v>
      </c>
      <c r="AN79" s="60"/>
      <c r="AO79" s="87">
        <f t="shared" si="46"/>
        <v>0</v>
      </c>
      <c r="AP79" s="60" t="b">
        <f t="shared" si="47"/>
        <v>1</v>
      </c>
    </row>
    <row r="80" spans="1:42" ht="12" customHeight="1" outlineLevel="1">
      <c r="A80" s="84">
        <v>8</v>
      </c>
      <c r="B80" s="60">
        <f t="shared" si="48"/>
        <v>2032</v>
      </c>
      <c r="C80" s="34">
        <v>0</v>
      </c>
      <c r="D80" s="60"/>
      <c r="E80" s="60"/>
      <c r="F80" s="60"/>
      <c r="G80" s="60"/>
      <c r="H80" s="60"/>
      <c r="I80" s="60"/>
      <c r="J80" s="60"/>
      <c r="K80" s="87">
        <f>IF(K$26,MIN($C80,MAX($C80/$C$69,$C80/(K$26/12))),0)</f>
        <v>0</v>
      </c>
      <c r="L80" s="84">
        <f t="shared" ref="L80:AM80" si="55">IF(AND(L$24-$A80&lt;$C$69,L$26&gt;0),K80*(L$25/12),0)</f>
        <v>0</v>
      </c>
      <c r="M80" s="84">
        <f t="shared" si="55"/>
        <v>0</v>
      </c>
      <c r="N80" s="84">
        <f t="shared" si="55"/>
        <v>0</v>
      </c>
      <c r="O80" s="84">
        <f t="shared" si="55"/>
        <v>0</v>
      </c>
      <c r="P80" s="84">
        <f t="shared" si="55"/>
        <v>0</v>
      </c>
      <c r="Q80" s="84">
        <f t="shared" si="55"/>
        <v>0</v>
      </c>
      <c r="R80" s="84">
        <f t="shared" si="55"/>
        <v>0</v>
      </c>
      <c r="S80" s="84">
        <f t="shared" si="55"/>
        <v>0</v>
      </c>
      <c r="T80" s="84">
        <f t="shared" si="55"/>
        <v>0</v>
      </c>
      <c r="U80" s="84">
        <f t="shared" si="55"/>
        <v>0</v>
      </c>
      <c r="V80" s="84">
        <f t="shared" si="55"/>
        <v>0</v>
      </c>
      <c r="W80" s="84">
        <f t="shared" si="55"/>
        <v>0</v>
      </c>
      <c r="X80" s="84">
        <f t="shared" si="55"/>
        <v>0</v>
      </c>
      <c r="Y80" s="84">
        <f t="shared" si="55"/>
        <v>0</v>
      </c>
      <c r="Z80" s="84">
        <f t="shared" si="55"/>
        <v>0</v>
      </c>
      <c r="AA80" s="84">
        <f t="shared" si="55"/>
        <v>0</v>
      </c>
      <c r="AB80" s="84">
        <f t="shared" si="55"/>
        <v>0</v>
      </c>
      <c r="AC80" s="84">
        <f t="shared" si="55"/>
        <v>0</v>
      </c>
      <c r="AD80" s="84">
        <f t="shared" si="55"/>
        <v>0</v>
      </c>
      <c r="AE80" s="84">
        <f t="shared" si="55"/>
        <v>0</v>
      </c>
      <c r="AF80" s="84">
        <f t="shared" si="55"/>
        <v>0</v>
      </c>
      <c r="AG80" s="84">
        <f t="shared" si="55"/>
        <v>0</v>
      </c>
      <c r="AH80" s="84">
        <f t="shared" si="55"/>
        <v>0</v>
      </c>
      <c r="AI80" s="84">
        <f t="shared" si="55"/>
        <v>0</v>
      </c>
      <c r="AJ80" s="84">
        <f t="shared" si="55"/>
        <v>0</v>
      </c>
      <c r="AK80" s="84">
        <f t="shared" si="55"/>
        <v>0</v>
      </c>
      <c r="AL80" s="84">
        <f t="shared" si="55"/>
        <v>0</v>
      </c>
      <c r="AM80" s="84">
        <f t="shared" si="55"/>
        <v>0</v>
      </c>
      <c r="AN80" s="60"/>
      <c r="AO80" s="87">
        <f t="shared" si="46"/>
        <v>0</v>
      </c>
      <c r="AP80" s="60" t="b">
        <f t="shared" si="47"/>
        <v>1</v>
      </c>
    </row>
    <row r="81" spans="1:42" ht="12" customHeight="1" outlineLevel="1">
      <c r="A81" s="84">
        <v>9</v>
      </c>
      <c r="B81" s="60">
        <f t="shared" si="48"/>
        <v>2033</v>
      </c>
      <c r="C81" s="34">
        <v>0</v>
      </c>
      <c r="D81" s="60"/>
      <c r="E81" s="60"/>
      <c r="F81" s="60"/>
      <c r="G81" s="60"/>
      <c r="H81" s="60"/>
      <c r="I81" s="60"/>
      <c r="J81" s="60"/>
      <c r="K81" s="60"/>
      <c r="L81" s="87">
        <f>IF(L$26,MIN($C81,MAX($C81/$C$69,$C81/(L$26/12))),0)</f>
        <v>0</v>
      </c>
      <c r="M81" s="84">
        <f t="shared" ref="M81:AM81" si="56">IF(AND(M$24-$A81&lt;$C$69,M$26&gt;0),L81*(M$25/12),0)</f>
        <v>0</v>
      </c>
      <c r="N81" s="84">
        <f t="shared" si="56"/>
        <v>0</v>
      </c>
      <c r="O81" s="84">
        <f t="shared" si="56"/>
        <v>0</v>
      </c>
      <c r="P81" s="84">
        <f t="shared" si="56"/>
        <v>0</v>
      </c>
      <c r="Q81" s="84">
        <f t="shared" si="56"/>
        <v>0</v>
      </c>
      <c r="R81" s="84">
        <f t="shared" si="56"/>
        <v>0</v>
      </c>
      <c r="S81" s="84">
        <f t="shared" si="56"/>
        <v>0</v>
      </c>
      <c r="T81" s="84">
        <f t="shared" si="56"/>
        <v>0</v>
      </c>
      <c r="U81" s="84">
        <f t="shared" si="56"/>
        <v>0</v>
      </c>
      <c r="V81" s="84">
        <f t="shared" si="56"/>
        <v>0</v>
      </c>
      <c r="W81" s="84">
        <f t="shared" si="56"/>
        <v>0</v>
      </c>
      <c r="X81" s="84">
        <f t="shared" si="56"/>
        <v>0</v>
      </c>
      <c r="Y81" s="84">
        <f t="shared" si="56"/>
        <v>0</v>
      </c>
      <c r="Z81" s="84">
        <f t="shared" si="56"/>
        <v>0</v>
      </c>
      <c r="AA81" s="84">
        <f t="shared" si="56"/>
        <v>0</v>
      </c>
      <c r="AB81" s="84">
        <f t="shared" si="56"/>
        <v>0</v>
      </c>
      <c r="AC81" s="84">
        <f t="shared" si="56"/>
        <v>0</v>
      </c>
      <c r="AD81" s="84">
        <f t="shared" si="56"/>
        <v>0</v>
      </c>
      <c r="AE81" s="84">
        <f t="shared" si="56"/>
        <v>0</v>
      </c>
      <c r="AF81" s="84">
        <f t="shared" si="56"/>
        <v>0</v>
      </c>
      <c r="AG81" s="84">
        <f t="shared" si="56"/>
        <v>0</v>
      </c>
      <c r="AH81" s="84">
        <f t="shared" si="56"/>
        <v>0</v>
      </c>
      <c r="AI81" s="84">
        <f t="shared" si="56"/>
        <v>0</v>
      </c>
      <c r="AJ81" s="84">
        <f t="shared" si="56"/>
        <v>0</v>
      </c>
      <c r="AK81" s="84">
        <f t="shared" si="56"/>
        <v>0</v>
      </c>
      <c r="AL81" s="84">
        <f t="shared" si="56"/>
        <v>0</v>
      </c>
      <c r="AM81" s="84">
        <f t="shared" si="56"/>
        <v>0</v>
      </c>
      <c r="AN81" s="60"/>
      <c r="AO81" s="87">
        <f t="shared" si="46"/>
        <v>0</v>
      </c>
      <c r="AP81" s="60" t="b">
        <f t="shared" si="47"/>
        <v>1</v>
      </c>
    </row>
    <row r="82" spans="1:42" ht="12" customHeight="1" outlineLevel="1">
      <c r="A82" s="84">
        <v>10</v>
      </c>
      <c r="B82" s="60">
        <f t="shared" si="48"/>
        <v>2034</v>
      </c>
      <c r="C82" s="34">
        <v>0</v>
      </c>
      <c r="D82" s="60"/>
      <c r="E82" s="60"/>
      <c r="F82" s="60"/>
      <c r="G82" s="60"/>
      <c r="H82" s="60"/>
      <c r="I82" s="60"/>
      <c r="J82" s="60"/>
      <c r="K82" s="60"/>
      <c r="L82" s="60"/>
      <c r="M82" s="87">
        <f>IF(M$26,MIN($C82,MAX($C82/$C$69,$C82/(M$26/12))),0)</f>
        <v>0</v>
      </c>
      <c r="N82" s="84">
        <f t="shared" ref="N82:AM82" si="57">IF(AND(N$24-$A82&lt;$C$69,N$26&gt;0),M82*(N$25/12),0)</f>
        <v>0</v>
      </c>
      <c r="O82" s="84">
        <f t="shared" si="57"/>
        <v>0</v>
      </c>
      <c r="P82" s="84">
        <f t="shared" si="57"/>
        <v>0</v>
      </c>
      <c r="Q82" s="84">
        <f t="shared" si="57"/>
        <v>0</v>
      </c>
      <c r="R82" s="84">
        <f t="shared" si="57"/>
        <v>0</v>
      </c>
      <c r="S82" s="84">
        <f t="shared" si="57"/>
        <v>0</v>
      </c>
      <c r="T82" s="84">
        <f t="shared" si="57"/>
        <v>0</v>
      </c>
      <c r="U82" s="84">
        <f t="shared" si="57"/>
        <v>0</v>
      </c>
      <c r="V82" s="84">
        <f t="shared" si="57"/>
        <v>0</v>
      </c>
      <c r="W82" s="84">
        <f t="shared" si="57"/>
        <v>0</v>
      </c>
      <c r="X82" s="84">
        <f t="shared" si="57"/>
        <v>0</v>
      </c>
      <c r="Y82" s="84">
        <f t="shared" si="57"/>
        <v>0</v>
      </c>
      <c r="Z82" s="84">
        <f t="shared" si="57"/>
        <v>0</v>
      </c>
      <c r="AA82" s="84">
        <f t="shared" si="57"/>
        <v>0</v>
      </c>
      <c r="AB82" s="84">
        <f t="shared" si="57"/>
        <v>0</v>
      </c>
      <c r="AC82" s="84">
        <f t="shared" si="57"/>
        <v>0</v>
      </c>
      <c r="AD82" s="84">
        <f t="shared" si="57"/>
        <v>0</v>
      </c>
      <c r="AE82" s="84">
        <f t="shared" si="57"/>
        <v>0</v>
      </c>
      <c r="AF82" s="84">
        <f t="shared" si="57"/>
        <v>0</v>
      </c>
      <c r="AG82" s="84">
        <f t="shared" si="57"/>
        <v>0</v>
      </c>
      <c r="AH82" s="84">
        <f t="shared" si="57"/>
        <v>0</v>
      </c>
      <c r="AI82" s="84">
        <f t="shared" si="57"/>
        <v>0</v>
      </c>
      <c r="AJ82" s="84">
        <f t="shared" si="57"/>
        <v>0</v>
      </c>
      <c r="AK82" s="84">
        <f t="shared" si="57"/>
        <v>0</v>
      </c>
      <c r="AL82" s="84">
        <f t="shared" si="57"/>
        <v>0</v>
      </c>
      <c r="AM82" s="84">
        <f t="shared" si="57"/>
        <v>0</v>
      </c>
      <c r="AN82" s="60"/>
      <c r="AO82" s="87">
        <f t="shared" si="46"/>
        <v>0</v>
      </c>
      <c r="AP82" s="60" t="b">
        <f t="shared" si="47"/>
        <v>1</v>
      </c>
    </row>
    <row r="83" spans="1:42" ht="12" customHeight="1" outlineLevel="1">
      <c r="A83" s="84">
        <v>11</v>
      </c>
      <c r="B83" s="60">
        <f t="shared" si="48"/>
        <v>2035</v>
      </c>
      <c r="C83" s="34">
        <v>0</v>
      </c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87">
        <f>IF(N$26,MIN($C83,MAX($C83/$C$69,$C83/(N$26/12))),0)</f>
        <v>0</v>
      </c>
      <c r="O83" s="84">
        <f t="shared" ref="O83:AM83" si="58">IF(AND(O$24-$A83&lt;$C$69,O$26&gt;0),N83*(O$25/12),0)</f>
        <v>0</v>
      </c>
      <c r="P83" s="84">
        <f t="shared" si="58"/>
        <v>0</v>
      </c>
      <c r="Q83" s="84">
        <f t="shared" si="58"/>
        <v>0</v>
      </c>
      <c r="R83" s="84">
        <f t="shared" si="58"/>
        <v>0</v>
      </c>
      <c r="S83" s="84">
        <f t="shared" si="58"/>
        <v>0</v>
      </c>
      <c r="T83" s="84">
        <f t="shared" si="58"/>
        <v>0</v>
      </c>
      <c r="U83" s="84">
        <f t="shared" si="58"/>
        <v>0</v>
      </c>
      <c r="V83" s="84">
        <f t="shared" si="58"/>
        <v>0</v>
      </c>
      <c r="W83" s="84">
        <f t="shared" si="58"/>
        <v>0</v>
      </c>
      <c r="X83" s="84">
        <f t="shared" si="58"/>
        <v>0</v>
      </c>
      <c r="Y83" s="84">
        <f t="shared" si="58"/>
        <v>0</v>
      </c>
      <c r="Z83" s="84">
        <f t="shared" si="58"/>
        <v>0</v>
      </c>
      <c r="AA83" s="84">
        <f t="shared" si="58"/>
        <v>0</v>
      </c>
      <c r="AB83" s="84">
        <f t="shared" si="58"/>
        <v>0</v>
      </c>
      <c r="AC83" s="84">
        <f t="shared" si="58"/>
        <v>0</v>
      </c>
      <c r="AD83" s="84">
        <f t="shared" si="58"/>
        <v>0</v>
      </c>
      <c r="AE83" s="84">
        <f t="shared" si="58"/>
        <v>0</v>
      </c>
      <c r="AF83" s="84">
        <f t="shared" si="58"/>
        <v>0</v>
      </c>
      <c r="AG83" s="84">
        <f t="shared" si="58"/>
        <v>0</v>
      </c>
      <c r="AH83" s="84">
        <f t="shared" si="58"/>
        <v>0</v>
      </c>
      <c r="AI83" s="84">
        <f t="shared" si="58"/>
        <v>0</v>
      </c>
      <c r="AJ83" s="84">
        <f t="shared" si="58"/>
        <v>0</v>
      </c>
      <c r="AK83" s="84">
        <f t="shared" si="58"/>
        <v>0</v>
      </c>
      <c r="AL83" s="84">
        <f t="shared" si="58"/>
        <v>0</v>
      </c>
      <c r="AM83" s="84">
        <f t="shared" si="58"/>
        <v>0</v>
      </c>
      <c r="AN83" s="60"/>
      <c r="AO83" s="87">
        <f t="shared" si="46"/>
        <v>0</v>
      </c>
      <c r="AP83" s="60" t="b">
        <f t="shared" si="47"/>
        <v>1</v>
      </c>
    </row>
    <row r="84" spans="1:42" ht="12" customHeight="1" outlineLevel="1">
      <c r="A84" s="84">
        <v>12</v>
      </c>
      <c r="B84" s="60">
        <f t="shared" si="48"/>
        <v>2036</v>
      </c>
      <c r="C84" s="34">
        <v>0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87">
        <f>IF(O$26,MIN($C84,MAX($C84/$C$69,$C84/(O$26/12))),0)</f>
        <v>0</v>
      </c>
      <c r="P84" s="84">
        <f t="shared" ref="P84:AM84" si="59">IF(AND(P$24-$A84&lt;$C$69,P$26&gt;0),O84*(P$25/12),0)</f>
        <v>0</v>
      </c>
      <c r="Q84" s="84">
        <f t="shared" si="59"/>
        <v>0</v>
      </c>
      <c r="R84" s="84">
        <f t="shared" si="59"/>
        <v>0</v>
      </c>
      <c r="S84" s="84">
        <f t="shared" si="59"/>
        <v>0</v>
      </c>
      <c r="T84" s="84">
        <f t="shared" si="59"/>
        <v>0</v>
      </c>
      <c r="U84" s="84">
        <f t="shared" si="59"/>
        <v>0</v>
      </c>
      <c r="V84" s="84">
        <f t="shared" si="59"/>
        <v>0</v>
      </c>
      <c r="W84" s="84">
        <f t="shared" si="59"/>
        <v>0</v>
      </c>
      <c r="X84" s="84">
        <f t="shared" si="59"/>
        <v>0</v>
      </c>
      <c r="Y84" s="84">
        <f t="shared" si="59"/>
        <v>0</v>
      </c>
      <c r="Z84" s="84">
        <f t="shared" si="59"/>
        <v>0</v>
      </c>
      <c r="AA84" s="84">
        <f t="shared" si="59"/>
        <v>0</v>
      </c>
      <c r="AB84" s="84">
        <f t="shared" si="59"/>
        <v>0</v>
      </c>
      <c r="AC84" s="84">
        <f t="shared" si="59"/>
        <v>0</v>
      </c>
      <c r="AD84" s="84">
        <f t="shared" si="59"/>
        <v>0</v>
      </c>
      <c r="AE84" s="84">
        <f t="shared" si="59"/>
        <v>0</v>
      </c>
      <c r="AF84" s="84">
        <f t="shared" si="59"/>
        <v>0</v>
      </c>
      <c r="AG84" s="84">
        <f t="shared" si="59"/>
        <v>0</v>
      </c>
      <c r="AH84" s="84">
        <f t="shared" si="59"/>
        <v>0</v>
      </c>
      <c r="AI84" s="84">
        <f t="shared" si="59"/>
        <v>0</v>
      </c>
      <c r="AJ84" s="84">
        <f t="shared" si="59"/>
        <v>0</v>
      </c>
      <c r="AK84" s="84">
        <f t="shared" si="59"/>
        <v>0</v>
      </c>
      <c r="AL84" s="84">
        <f t="shared" si="59"/>
        <v>0</v>
      </c>
      <c r="AM84" s="84">
        <f t="shared" si="59"/>
        <v>0</v>
      </c>
      <c r="AN84" s="60"/>
      <c r="AO84" s="87">
        <f t="shared" si="46"/>
        <v>0</v>
      </c>
      <c r="AP84" s="60" t="b">
        <f t="shared" si="47"/>
        <v>1</v>
      </c>
    </row>
    <row r="85" spans="1:42" ht="12" customHeight="1" outlineLevel="1">
      <c r="A85" s="84">
        <v>13</v>
      </c>
      <c r="B85" s="60">
        <f t="shared" si="48"/>
        <v>2037</v>
      </c>
      <c r="C85" s="34">
        <v>0</v>
      </c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87">
        <f>IF(P$26,MIN($C85,MAX($C85/$C$69,$C85/(P$26/12))),0)</f>
        <v>0</v>
      </c>
      <c r="Q85" s="84">
        <f t="shared" ref="Q85:AM85" si="60">IF(AND(Q$24-$A85&lt;$C$69,Q$26&gt;0),P85*(Q$25/12),0)</f>
        <v>0</v>
      </c>
      <c r="R85" s="84">
        <f t="shared" si="60"/>
        <v>0</v>
      </c>
      <c r="S85" s="84">
        <f t="shared" si="60"/>
        <v>0</v>
      </c>
      <c r="T85" s="84">
        <f t="shared" si="60"/>
        <v>0</v>
      </c>
      <c r="U85" s="84">
        <f t="shared" si="60"/>
        <v>0</v>
      </c>
      <c r="V85" s="84">
        <f t="shared" si="60"/>
        <v>0</v>
      </c>
      <c r="W85" s="84">
        <f t="shared" si="60"/>
        <v>0</v>
      </c>
      <c r="X85" s="84">
        <f t="shared" si="60"/>
        <v>0</v>
      </c>
      <c r="Y85" s="84">
        <f t="shared" si="60"/>
        <v>0</v>
      </c>
      <c r="Z85" s="84">
        <f t="shared" si="60"/>
        <v>0</v>
      </c>
      <c r="AA85" s="84">
        <f t="shared" si="60"/>
        <v>0</v>
      </c>
      <c r="AB85" s="84">
        <f t="shared" si="60"/>
        <v>0</v>
      </c>
      <c r="AC85" s="84">
        <f t="shared" si="60"/>
        <v>0</v>
      </c>
      <c r="AD85" s="84">
        <f t="shared" si="60"/>
        <v>0</v>
      </c>
      <c r="AE85" s="84">
        <f t="shared" si="60"/>
        <v>0</v>
      </c>
      <c r="AF85" s="84">
        <f t="shared" si="60"/>
        <v>0</v>
      </c>
      <c r="AG85" s="84">
        <f t="shared" si="60"/>
        <v>0</v>
      </c>
      <c r="AH85" s="84">
        <f t="shared" si="60"/>
        <v>0</v>
      </c>
      <c r="AI85" s="84">
        <f t="shared" si="60"/>
        <v>0</v>
      </c>
      <c r="AJ85" s="84">
        <f t="shared" si="60"/>
        <v>0</v>
      </c>
      <c r="AK85" s="84">
        <f t="shared" si="60"/>
        <v>0</v>
      </c>
      <c r="AL85" s="84">
        <f t="shared" si="60"/>
        <v>0</v>
      </c>
      <c r="AM85" s="84">
        <f t="shared" si="60"/>
        <v>0</v>
      </c>
      <c r="AN85" s="60"/>
      <c r="AO85" s="87">
        <f t="shared" si="46"/>
        <v>0</v>
      </c>
      <c r="AP85" s="60" t="b">
        <f t="shared" si="47"/>
        <v>1</v>
      </c>
    </row>
    <row r="86" spans="1:42" ht="12" customHeight="1" outlineLevel="1">
      <c r="A86" s="84">
        <v>14</v>
      </c>
      <c r="B86" s="60">
        <f t="shared" si="48"/>
        <v>2038</v>
      </c>
      <c r="C86" s="34">
        <v>0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87">
        <f>IF(Q$26,MIN($C86,MAX($C86/$C$69,$C86/(Q$26/12))),0)</f>
        <v>0</v>
      </c>
      <c r="R86" s="84">
        <f t="shared" ref="R86:AM86" si="61">IF(AND(R$24-$A86&lt;$C$69,R$26&gt;0),Q86*(R$25/12),0)</f>
        <v>0</v>
      </c>
      <c r="S86" s="84">
        <f t="shared" si="61"/>
        <v>0</v>
      </c>
      <c r="T86" s="84">
        <f t="shared" si="61"/>
        <v>0</v>
      </c>
      <c r="U86" s="84">
        <f t="shared" si="61"/>
        <v>0</v>
      </c>
      <c r="V86" s="84">
        <f t="shared" si="61"/>
        <v>0</v>
      </c>
      <c r="W86" s="84">
        <f t="shared" si="61"/>
        <v>0</v>
      </c>
      <c r="X86" s="84">
        <f t="shared" si="61"/>
        <v>0</v>
      </c>
      <c r="Y86" s="84">
        <f t="shared" si="61"/>
        <v>0</v>
      </c>
      <c r="Z86" s="84">
        <f t="shared" si="61"/>
        <v>0</v>
      </c>
      <c r="AA86" s="84">
        <f t="shared" si="61"/>
        <v>0</v>
      </c>
      <c r="AB86" s="84">
        <f t="shared" si="61"/>
        <v>0</v>
      </c>
      <c r="AC86" s="84">
        <f t="shared" si="61"/>
        <v>0</v>
      </c>
      <c r="AD86" s="84">
        <f t="shared" si="61"/>
        <v>0</v>
      </c>
      <c r="AE86" s="84">
        <f t="shared" si="61"/>
        <v>0</v>
      </c>
      <c r="AF86" s="84">
        <f t="shared" si="61"/>
        <v>0</v>
      </c>
      <c r="AG86" s="84">
        <f t="shared" si="61"/>
        <v>0</v>
      </c>
      <c r="AH86" s="84">
        <f t="shared" si="61"/>
        <v>0</v>
      </c>
      <c r="AI86" s="84">
        <f t="shared" si="61"/>
        <v>0</v>
      </c>
      <c r="AJ86" s="84">
        <f t="shared" si="61"/>
        <v>0</v>
      </c>
      <c r="AK86" s="84">
        <f t="shared" si="61"/>
        <v>0</v>
      </c>
      <c r="AL86" s="84">
        <f t="shared" si="61"/>
        <v>0</v>
      </c>
      <c r="AM86" s="84">
        <f t="shared" si="61"/>
        <v>0</v>
      </c>
      <c r="AN86" s="60"/>
      <c r="AO86" s="87">
        <f t="shared" si="46"/>
        <v>0</v>
      </c>
      <c r="AP86" s="60" t="b">
        <f t="shared" si="47"/>
        <v>1</v>
      </c>
    </row>
    <row r="87" spans="1:42" ht="12" customHeight="1" outlineLevel="1">
      <c r="A87" s="84">
        <v>15</v>
      </c>
      <c r="B87" s="60">
        <f t="shared" si="48"/>
        <v>2039</v>
      </c>
      <c r="C87" s="34">
        <v>0</v>
      </c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87">
        <f>IF(R$26,MIN($C87,MAX($C87/$C$69,$C87/(R$26/12))),0)</f>
        <v>0</v>
      </c>
      <c r="S87" s="84">
        <f t="shared" ref="S87:AM87" si="62">IF(AND(S$24-$A87&lt;$C$69,S$26&gt;0),R87*(S$25/12),0)</f>
        <v>0</v>
      </c>
      <c r="T87" s="84">
        <f t="shared" si="62"/>
        <v>0</v>
      </c>
      <c r="U87" s="84">
        <f t="shared" si="62"/>
        <v>0</v>
      </c>
      <c r="V87" s="84">
        <f t="shared" si="62"/>
        <v>0</v>
      </c>
      <c r="W87" s="84">
        <f t="shared" si="62"/>
        <v>0</v>
      </c>
      <c r="X87" s="84">
        <f t="shared" si="62"/>
        <v>0</v>
      </c>
      <c r="Y87" s="84">
        <f t="shared" si="62"/>
        <v>0</v>
      </c>
      <c r="Z87" s="84">
        <f t="shared" si="62"/>
        <v>0</v>
      </c>
      <c r="AA87" s="84">
        <f t="shared" si="62"/>
        <v>0</v>
      </c>
      <c r="AB87" s="84">
        <f t="shared" si="62"/>
        <v>0</v>
      </c>
      <c r="AC87" s="84">
        <f t="shared" si="62"/>
        <v>0</v>
      </c>
      <c r="AD87" s="84">
        <f t="shared" si="62"/>
        <v>0</v>
      </c>
      <c r="AE87" s="84">
        <f t="shared" si="62"/>
        <v>0</v>
      </c>
      <c r="AF87" s="84">
        <f t="shared" si="62"/>
        <v>0</v>
      </c>
      <c r="AG87" s="84">
        <f t="shared" si="62"/>
        <v>0</v>
      </c>
      <c r="AH87" s="84">
        <f t="shared" si="62"/>
        <v>0</v>
      </c>
      <c r="AI87" s="84">
        <f t="shared" si="62"/>
        <v>0</v>
      </c>
      <c r="AJ87" s="84">
        <f t="shared" si="62"/>
        <v>0</v>
      </c>
      <c r="AK87" s="84">
        <f t="shared" si="62"/>
        <v>0</v>
      </c>
      <c r="AL87" s="84">
        <f t="shared" si="62"/>
        <v>0</v>
      </c>
      <c r="AM87" s="84">
        <f t="shared" si="62"/>
        <v>0</v>
      </c>
      <c r="AN87" s="60"/>
      <c r="AO87" s="87">
        <f t="shared" si="46"/>
        <v>0</v>
      </c>
      <c r="AP87" s="60" t="b">
        <f t="shared" si="47"/>
        <v>1</v>
      </c>
    </row>
    <row r="88" spans="1:42" ht="12" customHeight="1" outlineLevel="1">
      <c r="A88" s="84">
        <v>16</v>
      </c>
      <c r="B88" s="60">
        <f t="shared" si="48"/>
        <v>2040</v>
      </c>
      <c r="C88" s="34">
        <v>0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87">
        <f>IF(S$26,MIN($C88,MAX($C88/$C$69,$C88/(S$26/12))),0)</f>
        <v>0</v>
      </c>
      <c r="T88" s="84">
        <f t="shared" ref="T88:AM88" si="63">IF(AND(T$24-$A88&lt;$C$69,T$26&gt;0),S88*(T$25/12),0)</f>
        <v>0</v>
      </c>
      <c r="U88" s="84">
        <f t="shared" si="63"/>
        <v>0</v>
      </c>
      <c r="V88" s="84">
        <f t="shared" si="63"/>
        <v>0</v>
      </c>
      <c r="W88" s="84">
        <f t="shared" si="63"/>
        <v>0</v>
      </c>
      <c r="X88" s="84">
        <f t="shared" si="63"/>
        <v>0</v>
      </c>
      <c r="Y88" s="84">
        <f t="shared" si="63"/>
        <v>0</v>
      </c>
      <c r="Z88" s="84">
        <f t="shared" si="63"/>
        <v>0</v>
      </c>
      <c r="AA88" s="84">
        <f t="shared" si="63"/>
        <v>0</v>
      </c>
      <c r="AB88" s="84">
        <f t="shared" si="63"/>
        <v>0</v>
      </c>
      <c r="AC88" s="84">
        <f t="shared" si="63"/>
        <v>0</v>
      </c>
      <c r="AD88" s="84">
        <f t="shared" si="63"/>
        <v>0</v>
      </c>
      <c r="AE88" s="84">
        <f t="shared" si="63"/>
        <v>0</v>
      </c>
      <c r="AF88" s="84">
        <f t="shared" si="63"/>
        <v>0</v>
      </c>
      <c r="AG88" s="84">
        <f t="shared" si="63"/>
        <v>0</v>
      </c>
      <c r="AH88" s="84">
        <f t="shared" si="63"/>
        <v>0</v>
      </c>
      <c r="AI88" s="84">
        <f t="shared" si="63"/>
        <v>0</v>
      </c>
      <c r="AJ88" s="84">
        <f t="shared" si="63"/>
        <v>0</v>
      </c>
      <c r="AK88" s="84">
        <f t="shared" si="63"/>
        <v>0</v>
      </c>
      <c r="AL88" s="84">
        <f t="shared" si="63"/>
        <v>0</v>
      </c>
      <c r="AM88" s="84">
        <f t="shared" si="63"/>
        <v>0</v>
      </c>
      <c r="AN88" s="60"/>
      <c r="AO88" s="87">
        <f t="shared" si="46"/>
        <v>0</v>
      </c>
      <c r="AP88" s="60" t="b">
        <f t="shared" si="47"/>
        <v>1</v>
      </c>
    </row>
    <row r="89" spans="1:42" ht="12" customHeight="1" outlineLevel="1">
      <c r="A89" s="84">
        <v>17</v>
      </c>
      <c r="B89" s="60">
        <f t="shared" si="48"/>
        <v>2041</v>
      </c>
      <c r="C89" s="34">
        <v>0</v>
      </c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87">
        <f>IF(T$26,MIN($C89,MAX($C89/$C$69,$C89/(T$26/12))),0)</f>
        <v>0</v>
      </c>
      <c r="U89" s="84">
        <f t="shared" ref="U89:AM89" si="64">IF(AND(U$24-$A89&lt;$C$69,U$26&gt;0),T89*(U$25/12),0)</f>
        <v>0</v>
      </c>
      <c r="V89" s="84">
        <f t="shared" si="64"/>
        <v>0</v>
      </c>
      <c r="W89" s="84">
        <f t="shared" si="64"/>
        <v>0</v>
      </c>
      <c r="X89" s="84">
        <f t="shared" si="64"/>
        <v>0</v>
      </c>
      <c r="Y89" s="84">
        <f t="shared" si="64"/>
        <v>0</v>
      </c>
      <c r="Z89" s="84">
        <f t="shared" si="64"/>
        <v>0</v>
      </c>
      <c r="AA89" s="84">
        <f t="shared" si="64"/>
        <v>0</v>
      </c>
      <c r="AB89" s="84">
        <f t="shared" si="64"/>
        <v>0</v>
      </c>
      <c r="AC89" s="84">
        <f t="shared" si="64"/>
        <v>0</v>
      </c>
      <c r="AD89" s="84">
        <f t="shared" si="64"/>
        <v>0</v>
      </c>
      <c r="AE89" s="84">
        <f t="shared" si="64"/>
        <v>0</v>
      </c>
      <c r="AF89" s="84">
        <f t="shared" si="64"/>
        <v>0</v>
      </c>
      <c r="AG89" s="84">
        <f t="shared" si="64"/>
        <v>0</v>
      </c>
      <c r="AH89" s="84">
        <f t="shared" si="64"/>
        <v>0</v>
      </c>
      <c r="AI89" s="84">
        <f t="shared" si="64"/>
        <v>0</v>
      </c>
      <c r="AJ89" s="84">
        <f t="shared" si="64"/>
        <v>0</v>
      </c>
      <c r="AK89" s="84">
        <f t="shared" si="64"/>
        <v>0</v>
      </c>
      <c r="AL89" s="84">
        <f t="shared" si="64"/>
        <v>0</v>
      </c>
      <c r="AM89" s="84">
        <f t="shared" si="64"/>
        <v>0</v>
      </c>
      <c r="AN89" s="60"/>
      <c r="AO89" s="87">
        <f t="shared" si="46"/>
        <v>0</v>
      </c>
      <c r="AP89" s="60" t="b">
        <f t="shared" si="47"/>
        <v>1</v>
      </c>
    </row>
    <row r="90" spans="1:42" ht="12" customHeight="1" outlineLevel="1">
      <c r="A90" s="84">
        <v>18</v>
      </c>
      <c r="B90" s="60">
        <f t="shared" si="48"/>
        <v>2042</v>
      </c>
      <c r="C90" s="34">
        <v>0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87">
        <f>IF(U$26,MIN($C90,MAX($C90/$C$69,$C90/(U$26/12))),0)</f>
        <v>0</v>
      </c>
      <c r="V90" s="84">
        <f t="shared" ref="V90:AM90" si="65">IF(AND(V$24-$A90&lt;$C$69,V$26&gt;0),U90*(V$25/12),0)</f>
        <v>0</v>
      </c>
      <c r="W90" s="84">
        <f t="shared" si="65"/>
        <v>0</v>
      </c>
      <c r="X90" s="84">
        <f t="shared" si="65"/>
        <v>0</v>
      </c>
      <c r="Y90" s="84">
        <f t="shared" si="65"/>
        <v>0</v>
      </c>
      <c r="Z90" s="84">
        <f t="shared" si="65"/>
        <v>0</v>
      </c>
      <c r="AA90" s="84">
        <f t="shared" si="65"/>
        <v>0</v>
      </c>
      <c r="AB90" s="84">
        <f t="shared" si="65"/>
        <v>0</v>
      </c>
      <c r="AC90" s="84">
        <f t="shared" si="65"/>
        <v>0</v>
      </c>
      <c r="AD90" s="84">
        <f t="shared" si="65"/>
        <v>0</v>
      </c>
      <c r="AE90" s="84">
        <f t="shared" si="65"/>
        <v>0</v>
      </c>
      <c r="AF90" s="84">
        <f t="shared" si="65"/>
        <v>0</v>
      </c>
      <c r="AG90" s="84">
        <f t="shared" si="65"/>
        <v>0</v>
      </c>
      <c r="AH90" s="84">
        <f t="shared" si="65"/>
        <v>0</v>
      </c>
      <c r="AI90" s="84">
        <f t="shared" si="65"/>
        <v>0</v>
      </c>
      <c r="AJ90" s="84">
        <f t="shared" si="65"/>
        <v>0</v>
      </c>
      <c r="AK90" s="84">
        <f t="shared" si="65"/>
        <v>0</v>
      </c>
      <c r="AL90" s="84">
        <f t="shared" si="65"/>
        <v>0</v>
      </c>
      <c r="AM90" s="84">
        <f t="shared" si="65"/>
        <v>0</v>
      </c>
      <c r="AN90" s="60"/>
      <c r="AO90" s="87">
        <f t="shared" si="46"/>
        <v>0</v>
      </c>
      <c r="AP90" s="60" t="b">
        <f t="shared" si="47"/>
        <v>1</v>
      </c>
    </row>
    <row r="91" spans="1:42" ht="12" customHeight="1" outlineLevel="1">
      <c r="A91" s="84">
        <v>19</v>
      </c>
      <c r="B91" s="60">
        <f t="shared" si="48"/>
        <v>2043</v>
      </c>
      <c r="C91" s="34">
        <v>0</v>
      </c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87">
        <f>IF(V$26,MIN($C91,MAX($C91/$C$69,$C91/(V$26/12))),0)</f>
        <v>0</v>
      </c>
      <c r="W91" s="84">
        <f t="shared" ref="W91:AM91" si="66">IF(AND(W$24-$A91&lt;$C$69,W$26&gt;0),V91*(W$25/12),0)</f>
        <v>0</v>
      </c>
      <c r="X91" s="84">
        <f t="shared" si="66"/>
        <v>0</v>
      </c>
      <c r="Y91" s="84">
        <f t="shared" si="66"/>
        <v>0</v>
      </c>
      <c r="Z91" s="84">
        <f t="shared" si="66"/>
        <v>0</v>
      </c>
      <c r="AA91" s="84">
        <f t="shared" si="66"/>
        <v>0</v>
      </c>
      <c r="AB91" s="84">
        <f t="shared" si="66"/>
        <v>0</v>
      </c>
      <c r="AC91" s="84">
        <f t="shared" si="66"/>
        <v>0</v>
      </c>
      <c r="AD91" s="84">
        <f t="shared" si="66"/>
        <v>0</v>
      </c>
      <c r="AE91" s="84">
        <f t="shared" si="66"/>
        <v>0</v>
      </c>
      <c r="AF91" s="84">
        <f t="shared" si="66"/>
        <v>0</v>
      </c>
      <c r="AG91" s="84">
        <f t="shared" si="66"/>
        <v>0</v>
      </c>
      <c r="AH91" s="84">
        <f t="shared" si="66"/>
        <v>0</v>
      </c>
      <c r="AI91" s="84">
        <f t="shared" si="66"/>
        <v>0</v>
      </c>
      <c r="AJ91" s="84">
        <f t="shared" si="66"/>
        <v>0</v>
      </c>
      <c r="AK91" s="84">
        <f t="shared" si="66"/>
        <v>0</v>
      </c>
      <c r="AL91" s="84">
        <f t="shared" si="66"/>
        <v>0</v>
      </c>
      <c r="AM91" s="84">
        <f t="shared" si="66"/>
        <v>0</v>
      </c>
      <c r="AN91" s="60"/>
      <c r="AO91" s="87">
        <f t="shared" si="46"/>
        <v>0</v>
      </c>
      <c r="AP91" s="60" t="b">
        <f t="shared" si="47"/>
        <v>1</v>
      </c>
    </row>
    <row r="92" spans="1:42" ht="12" customHeight="1" outlineLevel="1">
      <c r="A92" s="84">
        <v>20</v>
      </c>
      <c r="B92" s="60">
        <f t="shared" si="48"/>
        <v>2044</v>
      </c>
      <c r="C92" s="34">
        <v>0</v>
      </c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87">
        <f>IF(W$26,MIN($C92,MAX($C92/$C$69,$C92/(W$26/12))),0)</f>
        <v>0</v>
      </c>
      <c r="X92" s="84">
        <f t="shared" ref="X92:AM92" si="67">IF(AND(X$24-$A92&lt;$C$69,X$26&gt;0),W92*(X$25/12),0)</f>
        <v>0</v>
      </c>
      <c r="Y92" s="84">
        <f t="shared" si="67"/>
        <v>0</v>
      </c>
      <c r="Z92" s="84">
        <f t="shared" si="67"/>
        <v>0</v>
      </c>
      <c r="AA92" s="84">
        <f t="shared" si="67"/>
        <v>0</v>
      </c>
      <c r="AB92" s="84">
        <f t="shared" si="67"/>
        <v>0</v>
      </c>
      <c r="AC92" s="84">
        <f t="shared" si="67"/>
        <v>0</v>
      </c>
      <c r="AD92" s="84">
        <f t="shared" si="67"/>
        <v>0</v>
      </c>
      <c r="AE92" s="84">
        <f t="shared" si="67"/>
        <v>0</v>
      </c>
      <c r="AF92" s="84">
        <f t="shared" si="67"/>
        <v>0</v>
      </c>
      <c r="AG92" s="84">
        <f t="shared" si="67"/>
        <v>0</v>
      </c>
      <c r="AH92" s="84">
        <f t="shared" si="67"/>
        <v>0</v>
      </c>
      <c r="AI92" s="84">
        <f t="shared" si="67"/>
        <v>0</v>
      </c>
      <c r="AJ92" s="84">
        <f t="shared" si="67"/>
        <v>0</v>
      </c>
      <c r="AK92" s="84">
        <f t="shared" si="67"/>
        <v>0</v>
      </c>
      <c r="AL92" s="84">
        <f t="shared" si="67"/>
        <v>0</v>
      </c>
      <c r="AM92" s="84">
        <f t="shared" si="67"/>
        <v>0</v>
      </c>
      <c r="AN92" s="60"/>
      <c r="AO92" s="87">
        <f t="shared" si="46"/>
        <v>0</v>
      </c>
      <c r="AP92" s="60" t="b">
        <f t="shared" si="47"/>
        <v>1</v>
      </c>
    </row>
    <row r="93" spans="1:42" ht="12" customHeight="1" outlineLevel="1">
      <c r="A93" s="84">
        <v>21</v>
      </c>
      <c r="B93" s="60">
        <f t="shared" si="48"/>
        <v>2045</v>
      </c>
      <c r="C93" s="34">
        <v>0</v>
      </c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87">
        <f>IF(X$26,MIN($C93,MAX($C93/$C$69,$C93/(X$26/12))),0)</f>
        <v>0</v>
      </c>
      <c r="Y93" s="84">
        <f t="shared" ref="Y93:AM93" si="68">IF(AND(Y$24-$A93&lt;$C$69,Y$26&gt;0),X93*(Y$25/12),0)</f>
        <v>0</v>
      </c>
      <c r="Z93" s="84">
        <f t="shared" si="68"/>
        <v>0</v>
      </c>
      <c r="AA93" s="84">
        <f t="shared" si="68"/>
        <v>0</v>
      </c>
      <c r="AB93" s="84">
        <f t="shared" si="68"/>
        <v>0</v>
      </c>
      <c r="AC93" s="84">
        <f t="shared" si="68"/>
        <v>0</v>
      </c>
      <c r="AD93" s="84">
        <f t="shared" si="68"/>
        <v>0</v>
      </c>
      <c r="AE93" s="84">
        <f t="shared" si="68"/>
        <v>0</v>
      </c>
      <c r="AF93" s="84">
        <f t="shared" si="68"/>
        <v>0</v>
      </c>
      <c r="AG93" s="84">
        <f t="shared" si="68"/>
        <v>0</v>
      </c>
      <c r="AH93" s="84">
        <f t="shared" si="68"/>
        <v>0</v>
      </c>
      <c r="AI93" s="84">
        <f t="shared" si="68"/>
        <v>0</v>
      </c>
      <c r="AJ93" s="84">
        <f t="shared" si="68"/>
        <v>0</v>
      </c>
      <c r="AK93" s="84">
        <f t="shared" si="68"/>
        <v>0</v>
      </c>
      <c r="AL93" s="84">
        <f t="shared" si="68"/>
        <v>0</v>
      </c>
      <c r="AM93" s="84">
        <f t="shared" si="68"/>
        <v>0</v>
      </c>
      <c r="AN93" s="60"/>
      <c r="AO93" s="87">
        <f t="shared" si="46"/>
        <v>0</v>
      </c>
      <c r="AP93" s="60" t="b">
        <f t="shared" si="47"/>
        <v>1</v>
      </c>
    </row>
    <row r="94" spans="1:42" ht="12" customHeight="1" outlineLevel="1">
      <c r="A94" s="84">
        <v>22</v>
      </c>
      <c r="B94" s="60">
        <f t="shared" si="48"/>
        <v>2046</v>
      </c>
      <c r="C94" s="34">
        <v>0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87">
        <f>IF(Y$26,MIN($C94,MAX($C94/$C$69,$C94/(Y$26/12))),0)</f>
        <v>0</v>
      </c>
      <c r="Z94" s="84">
        <f t="shared" ref="Z94:AM94" si="69">IF(AND(Z$24-$A94&lt;$C$69,Z$26&gt;0),Y94*(Z$25/12),0)</f>
        <v>0</v>
      </c>
      <c r="AA94" s="84">
        <f t="shared" si="69"/>
        <v>0</v>
      </c>
      <c r="AB94" s="84">
        <f t="shared" si="69"/>
        <v>0</v>
      </c>
      <c r="AC94" s="84">
        <f t="shared" si="69"/>
        <v>0</v>
      </c>
      <c r="AD94" s="84">
        <f t="shared" si="69"/>
        <v>0</v>
      </c>
      <c r="AE94" s="84">
        <f t="shared" si="69"/>
        <v>0</v>
      </c>
      <c r="AF94" s="84">
        <f t="shared" si="69"/>
        <v>0</v>
      </c>
      <c r="AG94" s="84">
        <f t="shared" si="69"/>
        <v>0</v>
      </c>
      <c r="AH94" s="84">
        <f t="shared" si="69"/>
        <v>0</v>
      </c>
      <c r="AI94" s="84">
        <f t="shared" si="69"/>
        <v>0</v>
      </c>
      <c r="AJ94" s="84">
        <f t="shared" si="69"/>
        <v>0</v>
      </c>
      <c r="AK94" s="84">
        <f t="shared" si="69"/>
        <v>0</v>
      </c>
      <c r="AL94" s="84">
        <f t="shared" si="69"/>
        <v>0</v>
      </c>
      <c r="AM94" s="84">
        <f t="shared" si="69"/>
        <v>0</v>
      </c>
      <c r="AN94" s="60"/>
      <c r="AO94" s="87">
        <f t="shared" si="46"/>
        <v>0</v>
      </c>
      <c r="AP94" s="60" t="b">
        <f t="shared" si="47"/>
        <v>1</v>
      </c>
    </row>
    <row r="95" spans="1:42" ht="12" customHeight="1" outlineLevel="1">
      <c r="A95" s="84">
        <v>23</v>
      </c>
      <c r="B95" s="60">
        <f t="shared" si="48"/>
        <v>2047</v>
      </c>
      <c r="C95" s="34">
        <v>0</v>
      </c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87">
        <f>IF(Z$26,MIN($C95,MAX($C95/$C$69,$C95/(Z$26/12))),0)</f>
        <v>0</v>
      </c>
      <c r="AA95" s="84">
        <f t="shared" ref="AA95:AM95" si="70">IF(AND(AA$24-$A95&lt;$C$69,AA$26&gt;0),Z95*(AA$25/12),0)</f>
        <v>0</v>
      </c>
      <c r="AB95" s="84">
        <f t="shared" si="70"/>
        <v>0</v>
      </c>
      <c r="AC95" s="84">
        <f t="shared" si="70"/>
        <v>0</v>
      </c>
      <c r="AD95" s="84">
        <f t="shared" si="70"/>
        <v>0</v>
      </c>
      <c r="AE95" s="84">
        <f t="shared" si="70"/>
        <v>0</v>
      </c>
      <c r="AF95" s="84">
        <f t="shared" si="70"/>
        <v>0</v>
      </c>
      <c r="AG95" s="84">
        <f t="shared" si="70"/>
        <v>0</v>
      </c>
      <c r="AH95" s="84">
        <f t="shared" si="70"/>
        <v>0</v>
      </c>
      <c r="AI95" s="84">
        <f t="shared" si="70"/>
        <v>0</v>
      </c>
      <c r="AJ95" s="84">
        <f t="shared" si="70"/>
        <v>0</v>
      </c>
      <c r="AK95" s="84">
        <f t="shared" si="70"/>
        <v>0</v>
      </c>
      <c r="AL95" s="84">
        <f t="shared" si="70"/>
        <v>0</v>
      </c>
      <c r="AM95" s="84">
        <f t="shared" si="70"/>
        <v>0</v>
      </c>
      <c r="AN95" s="60"/>
      <c r="AO95" s="87">
        <f t="shared" si="46"/>
        <v>0</v>
      </c>
      <c r="AP95" s="60" t="b">
        <f t="shared" si="47"/>
        <v>1</v>
      </c>
    </row>
    <row r="96" spans="1:42" ht="12" customHeight="1" outlineLevel="1">
      <c r="A96" s="84">
        <v>24</v>
      </c>
      <c r="B96" s="60">
        <f t="shared" si="48"/>
        <v>2048</v>
      </c>
      <c r="C96" s="34">
        <v>0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87">
        <f>IF(AA$26,MIN($C96,MAX($C96/$C$69,$C96/(AA$26/12))),0)</f>
        <v>0</v>
      </c>
      <c r="AB96" s="84">
        <f t="shared" ref="AB96:AM96" si="71">IF(AND(AB$24-$A96&lt;$C$69,AB$26&gt;0),AA96*(AB$25/12),0)</f>
        <v>0</v>
      </c>
      <c r="AC96" s="84">
        <f t="shared" si="71"/>
        <v>0</v>
      </c>
      <c r="AD96" s="84">
        <f t="shared" si="71"/>
        <v>0</v>
      </c>
      <c r="AE96" s="84">
        <f t="shared" si="71"/>
        <v>0</v>
      </c>
      <c r="AF96" s="84">
        <f t="shared" si="71"/>
        <v>0</v>
      </c>
      <c r="AG96" s="84">
        <f t="shared" si="71"/>
        <v>0</v>
      </c>
      <c r="AH96" s="84">
        <f t="shared" si="71"/>
        <v>0</v>
      </c>
      <c r="AI96" s="84">
        <f t="shared" si="71"/>
        <v>0</v>
      </c>
      <c r="AJ96" s="84">
        <f t="shared" si="71"/>
        <v>0</v>
      </c>
      <c r="AK96" s="84">
        <f t="shared" si="71"/>
        <v>0</v>
      </c>
      <c r="AL96" s="84">
        <f t="shared" si="71"/>
        <v>0</v>
      </c>
      <c r="AM96" s="84">
        <f t="shared" si="71"/>
        <v>0</v>
      </c>
      <c r="AN96" s="60"/>
      <c r="AO96" s="87">
        <f t="shared" si="46"/>
        <v>0</v>
      </c>
      <c r="AP96" s="60" t="b">
        <f t="shared" si="47"/>
        <v>1</v>
      </c>
    </row>
    <row r="97" spans="1:42" ht="12" customHeight="1" outlineLevel="1">
      <c r="A97" s="84">
        <v>25</v>
      </c>
      <c r="B97" s="60">
        <f t="shared" si="48"/>
        <v>2049</v>
      </c>
      <c r="C97" s="34">
        <v>0</v>
      </c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87">
        <f>IF(AB$26,MIN($C97,MAX($C97/$C$69,$C97/(AB$26/12))),0)</f>
        <v>0</v>
      </c>
      <c r="AC97" s="84">
        <f t="shared" ref="AC97:AM97" si="72">IF(AND(AC$24-$A97&lt;$C$69,AC$26&gt;0),AB97*(AC$25/12),0)</f>
        <v>0</v>
      </c>
      <c r="AD97" s="84">
        <f t="shared" si="72"/>
        <v>0</v>
      </c>
      <c r="AE97" s="84">
        <f t="shared" si="72"/>
        <v>0</v>
      </c>
      <c r="AF97" s="84">
        <f t="shared" si="72"/>
        <v>0</v>
      </c>
      <c r="AG97" s="84">
        <f t="shared" si="72"/>
        <v>0</v>
      </c>
      <c r="AH97" s="84">
        <f t="shared" si="72"/>
        <v>0</v>
      </c>
      <c r="AI97" s="84">
        <f t="shared" si="72"/>
        <v>0</v>
      </c>
      <c r="AJ97" s="84">
        <f t="shared" si="72"/>
        <v>0</v>
      </c>
      <c r="AK97" s="84">
        <f t="shared" si="72"/>
        <v>0</v>
      </c>
      <c r="AL97" s="84">
        <f t="shared" si="72"/>
        <v>0</v>
      </c>
      <c r="AM97" s="84">
        <f t="shared" si="72"/>
        <v>0</v>
      </c>
      <c r="AN97" s="60"/>
      <c r="AO97" s="87">
        <f t="shared" si="46"/>
        <v>0</v>
      </c>
      <c r="AP97" s="60" t="b">
        <f t="shared" si="47"/>
        <v>1</v>
      </c>
    </row>
    <row r="98" spans="1:42" ht="12" customHeight="1" outlineLevel="1">
      <c r="A98" s="84">
        <v>26</v>
      </c>
      <c r="B98" s="60">
        <f t="shared" si="48"/>
        <v>2050</v>
      </c>
      <c r="C98" s="34">
        <v>0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87">
        <f>IF(AC$26,MIN($C98,MAX($C98/$C$69,$C98/(AC$26/12))),0)</f>
        <v>0</v>
      </c>
      <c r="AD98" s="84">
        <f t="shared" ref="AD98:AM98" si="73">IF(AND(AD$24-$A98&lt;$C$69,AD$26&gt;0),AC98*(AD$25/12),0)</f>
        <v>0</v>
      </c>
      <c r="AE98" s="84">
        <f t="shared" si="73"/>
        <v>0</v>
      </c>
      <c r="AF98" s="84">
        <f t="shared" si="73"/>
        <v>0</v>
      </c>
      <c r="AG98" s="84">
        <f t="shared" si="73"/>
        <v>0</v>
      </c>
      <c r="AH98" s="84">
        <f t="shared" si="73"/>
        <v>0</v>
      </c>
      <c r="AI98" s="84">
        <f t="shared" si="73"/>
        <v>0</v>
      </c>
      <c r="AJ98" s="84">
        <f t="shared" si="73"/>
        <v>0</v>
      </c>
      <c r="AK98" s="84">
        <f t="shared" si="73"/>
        <v>0</v>
      </c>
      <c r="AL98" s="84">
        <f t="shared" si="73"/>
        <v>0</v>
      </c>
      <c r="AM98" s="84">
        <f t="shared" si="73"/>
        <v>0</v>
      </c>
      <c r="AN98" s="60"/>
      <c r="AO98" s="87">
        <f t="shared" si="46"/>
        <v>0</v>
      </c>
      <c r="AP98" s="60" t="b">
        <f t="shared" si="47"/>
        <v>1</v>
      </c>
    </row>
    <row r="99" spans="1:42" ht="12" customHeight="1" outlineLevel="1">
      <c r="A99" s="84">
        <v>27</v>
      </c>
      <c r="B99" s="60">
        <f t="shared" si="48"/>
        <v>2051</v>
      </c>
      <c r="C99" s="34">
        <v>0</v>
      </c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87">
        <f>IF(AD$26,MIN($C99,MAX($C99/$C$69,$C99/(AD$26/12))),0)</f>
        <v>0</v>
      </c>
      <c r="AE99" s="84">
        <f t="shared" ref="AE99:AM99" si="74">IF(AND(AE$24-$A99&lt;$C$69,AE$26&gt;0),AD99*(AE$25/12),0)</f>
        <v>0</v>
      </c>
      <c r="AF99" s="84">
        <f t="shared" si="74"/>
        <v>0</v>
      </c>
      <c r="AG99" s="84">
        <f t="shared" si="74"/>
        <v>0</v>
      </c>
      <c r="AH99" s="84">
        <f t="shared" si="74"/>
        <v>0</v>
      </c>
      <c r="AI99" s="84">
        <f t="shared" si="74"/>
        <v>0</v>
      </c>
      <c r="AJ99" s="84">
        <f t="shared" si="74"/>
        <v>0</v>
      </c>
      <c r="AK99" s="84">
        <f t="shared" si="74"/>
        <v>0</v>
      </c>
      <c r="AL99" s="84">
        <f t="shared" si="74"/>
        <v>0</v>
      </c>
      <c r="AM99" s="84">
        <f t="shared" si="74"/>
        <v>0</v>
      </c>
      <c r="AN99" s="60"/>
      <c r="AO99" s="87">
        <f t="shared" si="46"/>
        <v>0</v>
      </c>
      <c r="AP99" s="60" t="b">
        <f t="shared" si="47"/>
        <v>1</v>
      </c>
    </row>
    <row r="100" spans="1:42" ht="12" customHeight="1" outlineLevel="1">
      <c r="A100" s="84">
        <v>28</v>
      </c>
      <c r="B100" s="60">
        <f t="shared" si="48"/>
        <v>2052</v>
      </c>
      <c r="C100" s="34">
        <v>0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87">
        <f>IF(AE$26,MIN($C100,MAX($C100/$C$69,$C100/(AE$26/12))),0)</f>
        <v>0</v>
      </c>
      <c r="AF100" s="84">
        <f t="shared" ref="AF100:AM100" si="75">IF(AND(AF$24-$A100&lt;$C$69,AF$26&gt;0),AE100*(AF$25/12),0)</f>
        <v>0</v>
      </c>
      <c r="AG100" s="84">
        <f t="shared" si="75"/>
        <v>0</v>
      </c>
      <c r="AH100" s="84">
        <f t="shared" si="75"/>
        <v>0</v>
      </c>
      <c r="AI100" s="84">
        <f t="shared" si="75"/>
        <v>0</v>
      </c>
      <c r="AJ100" s="84">
        <f t="shared" si="75"/>
        <v>0</v>
      </c>
      <c r="AK100" s="84">
        <f t="shared" si="75"/>
        <v>0</v>
      </c>
      <c r="AL100" s="84">
        <f t="shared" si="75"/>
        <v>0</v>
      </c>
      <c r="AM100" s="84">
        <f t="shared" si="75"/>
        <v>0</v>
      </c>
      <c r="AN100" s="60"/>
      <c r="AO100" s="87">
        <f t="shared" si="46"/>
        <v>0</v>
      </c>
      <c r="AP100" s="60" t="b">
        <f t="shared" si="47"/>
        <v>1</v>
      </c>
    </row>
    <row r="101" spans="1:42" ht="12" customHeight="1" outlineLevel="1">
      <c r="A101" s="84">
        <v>29</v>
      </c>
      <c r="B101" s="60">
        <f t="shared" si="48"/>
        <v>2053</v>
      </c>
      <c r="C101" s="34">
        <v>0</v>
      </c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87">
        <f>IF(AF$26,MIN($C101,MAX($C101/$C$69,$C101/(AF$26/12))),0)</f>
        <v>0</v>
      </c>
      <c r="AG101" s="84">
        <f t="shared" ref="AG101:AM101" si="76">IF(AND(AG$24-$A101&lt;$C$69,AG$26&gt;0),AF101*(AG$25/12),0)</f>
        <v>0</v>
      </c>
      <c r="AH101" s="84">
        <f t="shared" si="76"/>
        <v>0</v>
      </c>
      <c r="AI101" s="84">
        <f t="shared" si="76"/>
        <v>0</v>
      </c>
      <c r="AJ101" s="84">
        <f t="shared" si="76"/>
        <v>0</v>
      </c>
      <c r="AK101" s="84">
        <f t="shared" si="76"/>
        <v>0</v>
      </c>
      <c r="AL101" s="84">
        <f t="shared" si="76"/>
        <v>0</v>
      </c>
      <c r="AM101" s="84">
        <f t="shared" si="76"/>
        <v>0</v>
      </c>
      <c r="AN101" s="60"/>
      <c r="AO101" s="87">
        <f t="shared" si="46"/>
        <v>0</v>
      </c>
      <c r="AP101" s="60" t="b">
        <f t="shared" si="47"/>
        <v>1</v>
      </c>
    </row>
    <row r="102" spans="1:42" ht="12" customHeight="1" outlineLevel="1">
      <c r="A102" s="84">
        <v>30</v>
      </c>
      <c r="B102" s="60">
        <f t="shared" si="48"/>
        <v>2054</v>
      </c>
      <c r="C102" s="34">
        <v>0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87">
        <f>IF(AG$26,MIN($C102,MAX($C102/$C$69,$C102/(AG$26/12))),0)</f>
        <v>0</v>
      </c>
      <c r="AH102" s="84">
        <f t="shared" ref="AH102:AM102" si="77">IF(AND(AH$24-$A102&lt;$C$69,AH$26&gt;0),AG102*(AH$25/12),0)</f>
        <v>0</v>
      </c>
      <c r="AI102" s="84">
        <f t="shared" si="77"/>
        <v>0</v>
      </c>
      <c r="AJ102" s="84">
        <f t="shared" si="77"/>
        <v>0</v>
      </c>
      <c r="AK102" s="84">
        <f t="shared" si="77"/>
        <v>0</v>
      </c>
      <c r="AL102" s="84">
        <f t="shared" si="77"/>
        <v>0</v>
      </c>
      <c r="AM102" s="84">
        <f t="shared" si="77"/>
        <v>0</v>
      </c>
      <c r="AN102" s="60"/>
      <c r="AO102" s="87">
        <f t="shared" si="46"/>
        <v>0</v>
      </c>
      <c r="AP102" s="60" t="b">
        <f t="shared" si="47"/>
        <v>1</v>
      </c>
    </row>
    <row r="103" spans="1:42" ht="12" customHeight="1" outlineLevel="1">
      <c r="A103" s="84">
        <v>31</v>
      </c>
      <c r="B103" s="60">
        <f t="shared" si="48"/>
        <v>2055</v>
      </c>
      <c r="C103" s="34">
        <v>0</v>
      </c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87">
        <f>IF(AH$26,MIN($C103,MAX($C103/$C$69,$C103/(AH$26/12))),0)</f>
        <v>0</v>
      </c>
      <c r="AI103" s="84">
        <f>IF(AND(AI$24-$A103&lt;$C$69,AI$26&gt;0),AH103*(AI$25/12),0)</f>
        <v>0</v>
      </c>
      <c r="AJ103" s="84">
        <f>IF(AND(AJ$24-$A103&lt;$C$69,AJ$26&gt;0),AI103*(AJ$25/12),0)</f>
        <v>0</v>
      </c>
      <c r="AK103" s="84">
        <f>IF(AND(AK$24-$A103&lt;$C$69,AK$26&gt;0),AJ103*(AK$25/12),0)</f>
        <v>0</v>
      </c>
      <c r="AL103" s="84">
        <f>IF(AND(AL$24-$A103&lt;$C$69,AL$26&gt;0),AK103*(AL$25/12),0)</f>
        <v>0</v>
      </c>
      <c r="AM103" s="84">
        <f>IF(AND(AM$24-$A103&lt;$C$69,AM$26&gt;0),AL103*(AM$25/12),0)</f>
        <v>0</v>
      </c>
      <c r="AN103" s="60"/>
      <c r="AO103" s="87">
        <f t="shared" si="46"/>
        <v>0</v>
      </c>
      <c r="AP103" s="60" t="b">
        <f t="shared" si="47"/>
        <v>1</v>
      </c>
    </row>
    <row r="104" spans="1:42" ht="12" customHeight="1" outlineLevel="1">
      <c r="A104" s="84">
        <v>32</v>
      </c>
      <c r="B104" s="60">
        <f t="shared" si="48"/>
        <v>2056</v>
      </c>
      <c r="C104" s="34">
        <v>0</v>
      </c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87">
        <f>IF(AI$26,MIN($C104,MAX($C104/$C$69,$C104/(AI$26/12))),0)</f>
        <v>0</v>
      </c>
      <c r="AJ104" s="84">
        <f>IF(AND(AJ$24-$A104&lt;$C$69,AJ$26&gt;0),AI104*(AJ$25/12),0)</f>
        <v>0</v>
      </c>
      <c r="AK104" s="84">
        <f>IF(AND(AK$24-$A104&lt;$C$69,AK$26&gt;0),AJ104*(AK$25/12),0)</f>
        <v>0</v>
      </c>
      <c r="AL104" s="84">
        <f>IF(AND(AL$24-$A104&lt;$C$69,AL$26&gt;0),AK104*(AL$25/12),0)</f>
        <v>0</v>
      </c>
      <c r="AM104" s="84">
        <f>IF(AND(AM$24-$A104&lt;$C$69,AM$26&gt;0),AL104*(AM$25/12),0)</f>
        <v>0</v>
      </c>
      <c r="AN104" s="60"/>
      <c r="AO104" s="87">
        <f t="shared" si="46"/>
        <v>0</v>
      </c>
      <c r="AP104" s="60" t="b">
        <f t="shared" si="47"/>
        <v>1</v>
      </c>
    </row>
    <row r="105" spans="1:42" ht="12" customHeight="1" outlineLevel="1">
      <c r="A105" s="84">
        <v>33</v>
      </c>
      <c r="B105" s="60">
        <f t="shared" si="48"/>
        <v>2057</v>
      </c>
      <c r="C105" s="34">
        <v>0</v>
      </c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87">
        <f>IF(AJ$26,MIN($C105,MAX($C105/$C$69,$C105/(AJ$26/12))),0)</f>
        <v>0</v>
      </c>
      <c r="AK105" s="84">
        <f>IF(AND(AK$24-$A105&lt;$C$69,AK$26&gt;0),AJ105*(AK$25/12),0)</f>
        <v>0</v>
      </c>
      <c r="AL105" s="84">
        <f>IF(AND(AL$24-$A105&lt;$C$69,AL$26&gt;0),AK105*(AL$25/12),0)</f>
        <v>0</v>
      </c>
      <c r="AM105" s="84">
        <f>IF(AND(AM$24-$A105&lt;$C$69,AM$26&gt;0),AL105*(AM$25/12),0)</f>
        <v>0</v>
      </c>
      <c r="AN105" s="60"/>
      <c r="AO105" s="87">
        <f t="shared" si="46"/>
        <v>0</v>
      </c>
      <c r="AP105" s="60" t="b">
        <f t="shared" si="47"/>
        <v>1</v>
      </c>
    </row>
    <row r="106" spans="1:42" ht="12" customHeight="1" outlineLevel="1">
      <c r="A106" s="84">
        <v>34</v>
      </c>
      <c r="B106" s="60">
        <f t="shared" si="48"/>
        <v>2058</v>
      </c>
      <c r="C106" s="34">
        <v>0</v>
      </c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87">
        <f>IF(AK$26,MIN($C106,MAX($C106/$C$69,$C106/(AK$26/12))),0)</f>
        <v>0</v>
      </c>
      <c r="AL106" s="84">
        <f>IF(AND(AL$24-$A106&lt;$C$69,AL$26&gt;0),AK106*(AL$25/12),0)</f>
        <v>0</v>
      </c>
      <c r="AM106" s="84">
        <f>IF(AND(AM$24-$A106&lt;$C$69,AM$26&gt;0),AL106*(AM$25/12),0)</f>
        <v>0</v>
      </c>
      <c r="AN106" s="60"/>
      <c r="AO106" s="87">
        <f t="shared" si="46"/>
        <v>0</v>
      </c>
      <c r="AP106" s="60" t="b">
        <f t="shared" si="47"/>
        <v>1</v>
      </c>
    </row>
    <row r="107" spans="1:42" ht="12" customHeight="1" outlineLevel="1">
      <c r="A107" s="84">
        <v>35</v>
      </c>
      <c r="B107" s="60">
        <f t="shared" si="48"/>
        <v>2059</v>
      </c>
      <c r="C107" s="34">
        <v>0</v>
      </c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87">
        <f>IF(AL$26,MIN($C107,MAX($C107/$C$69,$C107/(AL$26/12))),0)</f>
        <v>0</v>
      </c>
      <c r="AM107" s="84">
        <f>IF(AND(AM$24-$A107&lt;$C$69,AM$26&gt;0),AL107*(AM$25/12),0)</f>
        <v>0</v>
      </c>
      <c r="AN107" s="60"/>
      <c r="AO107" s="87">
        <f t="shared" si="46"/>
        <v>0</v>
      </c>
      <c r="AP107" s="60" t="b">
        <f t="shared" si="47"/>
        <v>1</v>
      </c>
    </row>
    <row r="108" spans="1:42" ht="12" customHeight="1" outlineLevel="1">
      <c r="A108" s="128">
        <v>36</v>
      </c>
      <c r="B108" s="129">
        <f t="shared" si="48"/>
        <v>2060</v>
      </c>
      <c r="C108" s="130">
        <v>0</v>
      </c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31"/>
      <c r="AM108" s="131">
        <f>IF(AM$26,MIN($C108,MAX($C108/$C$69,$C108/(AM$26/12))),0)</f>
        <v>0</v>
      </c>
      <c r="AN108" s="60"/>
      <c r="AO108" s="131">
        <f t="shared" si="46"/>
        <v>0</v>
      </c>
      <c r="AP108" s="129" t="b">
        <f t="shared" si="47"/>
        <v>1</v>
      </c>
    </row>
    <row r="109" spans="1:42" ht="12" customHeight="1">
      <c r="A109" s="84"/>
      <c r="B109" s="60"/>
      <c r="C109" s="132">
        <f>SUM(C73:C107)</f>
        <v>0</v>
      </c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87">
        <f>SUM(AO73:AO108)</f>
        <v>0</v>
      </c>
      <c r="AP109" s="60" t="b">
        <f t="shared" si="47"/>
        <v>1</v>
      </c>
    </row>
    <row r="110" spans="1:42" ht="12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</row>
    <row r="111" spans="1:42" ht="12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</row>
    <row r="112" spans="1:42" ht="12" customHeight="1">
      <c r="A112" s="60"/>
      <c r="B112" s="60"/>
      <c r="C112" s="121" t="s">
        <v>458</v>
      </c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</row>
    <row r="113" spans="1:42" ht="12" customHeight="1">
      <c r="A113" s="60"/>
      <c r="B113" s="60"/>
      <c r="C113" s="122">
        <v>15</v>
      </c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</row>
    <row r="114" spans="1:42" ht="12" customHeight="1">
      <c r="A114" s="60"/>
      <c r="B114" s="60"/>
      <c r="C114" s="121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</row>
    <row r="115" spans="1:42" ht="12" customHeight="1">
      <c r="A115" s="123"/>
      <c r="B115" s="124" t="s">
        <v>459</v>
      </c>
      <c r="C115" s="125"/>
      <c r="D115" s="119">
        <f>SUMIF(CAPEX!$B$12:$B$16,Amt!$C$113,CAPEX!E$12:E$16)</f>
        <v>0</v>
      </c>
      <c r="E115" s="119">
        <f>SUMIF(CAPEX!$B$12:$B$16,Amt!$C$113,CAPEX!F$12:F$16)</f>
        <v>0</v>
      </c>
      <c r="F115" s="119">
        <f>SUMIF(CAPEX!$B$12:$B$16,Amt!$C$113,CAPEX!G$12:G$16)</f>
        <v>0</v>
      </c>
      <c r="G115" s="119">
        <f>SUMIF(CAPEX!$B$12:$B$16,Amt!$C$113,CAPEX!H$12:H$16)</f>
        <v>0</v>
      </c>
      <c r="H115" s="119">
        <f>SUMIF(CAPEX!$B$12:$B$16,Amt!$C$113,CAPEX!I$12:I$16)</f>
        <v>0</v>
      </c>
      <c r="I115" s="119">
        <f>SUMIF(CAPEX!$B$12:$B$16,Amt!$C$113,CAPEX!J$12:J$16)</f>
        <v>0</v>
      </c>
      <c r="J115" s="119">
        <f>SUMIF(CAPEX!$B$12:$B$16,Amt!$C$113,CAPEX!K$12:K$16)</f>
        <v>0</v>
      </c>
      <c r="K115" s="119">
        <f>SUMIF(CAPEX!$B$12:$B$16,Amt!$C$113,CAPEX!L$12:L$16)</f>
        <v>0</v>
      </c>
      <c r="L115" s="119">
        <f>SUMIF(CAPEX!$B$12:$B$16,Amt!$C$113,CAPEX!M$12:M$16)</f>
        <v>0</v>
      </c>
      <c r="M115" s="119">
        <f>SUMIF(CAPEX!$B$12:$B$16,Amt!$C$113,CAPEX!N$12:N$16)</f>
        <v>0</v>
      </c>
      <c r="N115" s="119">
        <f>SUMIF(CAPEX!$B$12:$B$16,Amt!$C$113,CAPEX!O$12:O$16)</f>
        <v>0</v>
      </c>
      <c r="O115" s="119">
        <f>SUMIF(CAPEX!$B$12:$B$16,Amt!$C$113,CAPEX!P$12:P$16)</f>
        <v>0</v>
      </c>
      <c r="P115" s="119">
        <f>SUMIF(CAPEX!$B$12:$B$16,Amt!$C$113,CAPEX!Q$12:Q$16)</f>
        <v>0</v>
      </c>
      <c r="Q115" s="119">
        <f>SUMIF(CAPEX!$B$12:$B$16,Amt!$C$113,CAPEX!R$12:R$16)</f>
        <v>0</v>
      </c>
      <c r="R115" s="119">
        <f>SUMIF(CAPEX!$B$12:$B$16,Amt!$C$113,CAPEX!S$12:S$16)</f>
        <v>0</v>
      </c>
      <c r="S115" s="119">
        <f>SUMIF(CAPEX!$B$12:$B$16,Amt!$C$113,CAPEX!T$12:T$16)</f>
        <v>0</v>
      </c>
      <c r="T115" s="119">
        <f>SUMIF(CAPEX!$B$12:$B$16,Amt!$C$113,CAPEX!U$12:U$16)</f>
        <v>0</v>
      </c>
      <c r="U115" s="119">
        <f>SUMIF(CAPEX!$B$12:$B$16,Amt!$C$113,CAPEX!V$12:V$16)</f>
        <v>0</v>
      </c>
      <c r="V115" s="119">
        <f>SUMIF(CAPEX!$B$12:$B$16,Amt!$C$113,CAPEX!W$12:W$16)</f>
        <v>0</v>
      </c>
      <c r="W115" s="119">
        <f>SUMIF(CAPEX!$B$12:$B$16,Amt!$C$113,CAPEX!X$12:X$16)</f>
        <v>0</v>
      </c>
      <c r="X115" s="119">
        <f>SUMIF(CAPEX!$B$12:$B$16,Amt!$C$113,CAPEX!Y$12:Y$16)</f>
        <v>0</v>
      </c>
      <c r="Y115" s="119">
        <f>SUMIF(CAPEX!$B$12:$B$16,Amt!$C$113,CAPEX!Z$12:Z$16)</f>
        <v>0</v>
      </c>
      <c r="Z115" s="119">
        <f>SUMIF(CAPEX!$B$12:$B$16,Amt!$C$113,CAPEX!AA$12:AA$16)</f>
        <v>0</v>
      </c>
      <c r="AA115" s="119">
        <f>SUMIF(CAPEX!$B$12:$B$16,Amt!$C$113,CAPEX!AB$12:AB$16)</f>
        <v>0</v>
      </c>
      <c r="AB115" s="119">
        <f>SUMIF(CAPEX!$B$12:$B$16,Amt!$C$113,CAPEX!AC$12:AC$16)</f>
        <v>0</v>
      </c>
      <c r="AC115" s="119">
        <f>SUMIF(CAPEX!$B$12:$B$16,Amt!$C$113,CAPEX!AD$12:AD$16)</f>
        <v>0</v>
      </c>
      <c r="AD115" s="119">
        <f>SUMIF(CAPEX!$B$12:$B$16,Amt!$C$113,CAPEX!AE$12:AE$16)</f>
        <v>0</v>
      </c>
      <c r="AE115" s="119">
        <f>SUMIF(CAPEX!$B$12:$B$16,Amt!$C$113,CAPEX!AF$12:AF$16)</f>
        <v>0</v>
      </c>
      <c r="AF115" s="119">
        <f>SUMIF(CAPEX!$B$12:$B$16,Amt!$C$113,CAPEX!AG$12:AG$16)</f>
        <v>0</v>
      </c>
      <c r="AG115" s="119">
        <f>SUMIF(CAPEX!$B$12:$B$16,Amt!$C$113,CAPEX!AH$12:AH$16)</f>
        <v>0</v>
      </c>
      <c r="AH115" s="119">
        <f>SUMIF(CAPEX!$B$12:$B$16,Amt!$C$113,CAPEX!AI$12:AI$16)</f>
        <v>0</v>
      </c>
      <c r="AI115" s="119">
        <f>SUMIF(CAPEX!$B$12:$B$16,Amt!$C$113,CAPEX!AJ$12:AJ$16)</f>
        <v>0</v>
      </c>
      <c r="AJ115" s="119">
        <f>SUMIF(CAPEX!$B$12:$B$16,Amt!$C$113,CAPEX!AK$12:AK$16)</f>
        <v>0</v>
      </c>
      <c r="AK115" s="119">
        <f>SUMIF(CAPEX!$B$12:$B$16,Amt!$C$113,CAPEX!AL$12:AL$16)</f>
        <v>0</v>
      </c>
      <c r="AL115" s="119">
        <f>SUMIF(CAPEX!$B$12:$B$16,Amt!$C$113,CAPEX!AM$12:AM$16)</f>
        <v>0</v>
      </c>
      <c r="AM115" s="119">
        <f>SUMIF(CAPEX!$B$12:$B$16,Amt!$C$113,CAPEX!AN$12:AN$16)</f>
        <v>0</v>
      </c>
      <c r="AN115" s="60"/>
      <c r="AO115" s="60"/>
      <c r="AP115" s="60"/>
    </row>
    <row r="116" spans="1:42" ht="12" customHeight="1">
      <c r="A116" s="60"/>
      <c r="B116" s="124" t="s">
        <v>124</v>
      </c>
      <c r="C116" s="125"/>
      <c r="D116" s="119">
        <f t="shared" ref="D116:AM116" si="78">SUM(D117:D151)</f>
        <v>0</v>
      </c>
      <c r="E116" s="119">
        <f t="shared" si="78"/>
        <v>0</v>
      </c>
      <c r="F116" s="119">
        <f t="shared" si="78"/>
        <v>0</v>
      </c>
      <c r="G116" s="119">
        <f t="shared" si="78"/>
        <v>0</v>
      </c>
      <c r="H116" s="119">
        <f t="shared" si="78"/>
        <v>0</v>
      </c>
      <c r="I116" s="119">
        <f t="shared" si="78"/>
        <v>0</v>
      </c>
      <c r="J116" s="119">
        <f t="shared" si="78"/>
        <v>0</v>
      </c>
      <c r="K116" s="119">
        <f t="shared" si="78"/>
        <v>0</v>
      </c>
      <c r="L116" s="119">
        <f t="shared" si="78"/>
        <v>0</v>
      </c>
      <c r="M116" s="119">
        <f t="shared" si="78"/>
        <v>0</v>
      </c>
      <c r="N116" s="119">
        <f t="shared" si="78"/>
        <v>0</v>
      </c>
      <c r="O116" s="119">
        <f t="shared" si="78"/>
        <v>0</v>
      </c>
      <c r="P116" s="119">
        <f t="shared" si="78"/>
        <v>0</v>
      </c>
      <c r="Q116" s="119">
        <f t="shared" si="78"/>
        <v>0</v>
      </c>
      <c r="R116" s="119">
        <f t="shared" si="78"/>
        <v>0</v>
      </c>
      <c r="S116" s="119">
        <f t="shared" si="78"/>
        <v>0</v>
      </c>
      <c r="T116" s="119">
        <f t="shared" si="78"/>
        <v>0</v>
      </c>
      <c r="U116" s="119">
        <f t="shared" si="78"/>
        <v>0</v>
      </c>
      <c r="V116" s="119">
        <f t="shared" si="78"/>
        <v>0</v>
      </c>
      <c r="W116" s="119">
        <f t="shared" si="78"/>
        <v>0</v>
      </c>
      <c r="X116" s="119">
        <f t="shared" si="78"/>
        <v>0</v>
      </c>
      <c r="Y116" s="119">
        <f t="shared" si="78"/>
        <v>0</v>
      </c>
      <c r="Z116" s="119">
        <f t="shared" si="78"/>
        <v>0</v>
      </c>
      <c r="AA116" s="119">
        <f t="shared" si="78"/>
        <v>0</v>
      </c>
      <c r="AB116" s="119">
        <f t="shared" si="78"/>
        <v>0</v>
      </c>
      <c r="AC116" s="119">
        <f t="shared" si="78"/>
        <v>0</v>
      </c>
      <c r="AD116" s="119">
        <f t="shared" si="78"/>
        <v>0</v>
      </c>
      <c r="AE116" s="119">
        <f t="shared" si="78"/>
        <v>0</v>
      </c>
      <c r="AF116" s="119">
        <f t="shared" si="78"/>
        <v>0</v>
      </c>
      <c r="AG116" s="119">
        <f t="shared" si="78"/>
        <v>0</v>
      </c>
      <c r="AH116" s="119">
        <f t="shared" si="78"/>
        <v>0</v>
      </c>
      <c r="AI116" s="119">
        <f t="shared" si="78"/>
        <v>0</v>
      </c>
      <c r="AJ116" s="119">
        <f t="shared" si="78"/>
        <v>0</v>
      </c>
      <c r="AK116" s="119">
        <f t="shared" si="78"/>
        <v>0</v>
      </c>
      <c r="AL116" s="119">
        <f t="shared" si="78"/>
        <v>0</v>
      </c>
      <c r="AM116" s="119">
        <f t="shared" si="78"/>
        <v>0</v>
      </c>
      <c r="AN116" s="60"/>
      <c r="AO116" s="60"/>
      <c r="AP116" s="60"/>
    </row>
    <row r="117" spans="1:42" ht="12" customHeight="1" outlineLevel="1">
      <c r="A117" s="84">
        <v>1</v>
      </c>
      <c r="B117" s="60">
        <f>$D$1</f>
        <v>2025</v>
      </c>
      <c r="C117" s="34">
        <f t="array" ref="C117:C152">TRANSPOSE(D115:AM115)</f>
        <v>0</v>
      </c>
      <c r="D117" s="87">
        <f>IF(D$26,MIN($C117,MAX($C117/$C$113,$C117/(D$26/12))),0)</f>
        <v>0</v>
      </c>
      <c r="E117" s="84">
        <f t="shared" ref="E117:AM117" si="79">IF(AND(E$24-$A117&lt;$C$113,E$26&gt;0),D117*(E$25/12),0)</f>
        <v>0</v>
      </c>
      <c r="F117" s="84">
        <f t="shared" si="79"/>
        <v>0</v>
      </c>
      <c r="G117" s="84">
        <f t="shared" si="79"/>
        <v>0</v>
      </c>
      <c r="H117" s="84">
        <f t="shared" si="79"/>
        <v>0</v>
      </c>
      <c r="I117" s="84">
        <f t="shared" si="79"/>
        <v>0</v>
      </c>
      <c r="J117" s="84">
        <f t="shared" si="79"/>
        <v>0</v>
      </c>
      <c r="K117" s="84">
        <f t="shared" si="79"/>
        <v>0</v>
      </c>
      <c r="L117" s="84">
        <f t="shared" si="79"/>
        <v>0</v>
      </c>
      <c r="M117" s="84">
        <f t="shared" si="79"/>
        <v>0</v>
      </c>
      <c r="N117" s="84">
        <f t="shared" si="79"/>
        <v>0</v>
      </c>
      <c r="O117" s="84">
        <f t="shared" si="79"/>
        <v>0</v>
      </c>
      <c r="P117" s="84">
        <f t="shared" si="79"/>
        <v>0</v>
      </c>
      <c r="Q117" s="84">
        <f t="shared" si="79"/>
        <v>0</v>
      </c>
      <c r="R117" s="84">
        <f t="shared" si="79"/>
        <v>0</v>
      </c>
      <c r="S117" s="84">
        <f t="shared" si="79"/>
        <v>0</v>
      </c>
      <c r="T117" s="84">
        <f t="shared" si="79"/>
        <v>0</v>
      </c>
      <c r="U117" s="84">
        <f t="shared" si="79"/>
        <v>0</v>
      </c>
      <c r="V117" s="84">
        <f t="shared" si="79"/>
        <v>0</v>
      </c>
      <c r="W117" s="84">
        <f t="shared" si="79"/>
        <v>0</v>
      </c>
      <c r="X117" s="84">
        <f t="shared" si="79"/>
        <v>0</v>
      </c>
      <c r="Y117" s="84">
        <f t="shared" si="79"/>
        <v>0</v>
      </c>
      <c r="Z117" s="84">
        <f t="shared" si="79"/>
        <v>0</v>
      </c>
      <c r="AA117" s="84">
        <f t="shared" si="79"/>
        <v>0</v>
      </c>
      <c r="AB117" s="84">
        <f t="shared" si="79"/>
        <v>0</v>
      </c>
      <c r="AC117" s="84">
        <f t="shared" si="79"/>
        <v>0</v>
      </c>
      <c r="AD117" s="84">
        <f t="shared" si="79"/>
        <v>0</v>
      </c>
      <c r="AE117" s="84">
        <f t="shared" si="79"/>
        <v>0</v>
      </c>
      <c r="AF117" s="84">
        <f t="shared" si="79"/>
        <v>0</v>
      </c>
      <c r="AG117" s="84">
        <f t="shared" si="79"/>
        <v>0</v>
      </c>
      <c r="AH117" s="84">
        <f t="shared" si="79"/>
        <v>0</v>
      </c>
      <c r="AI117" s="84">
        <f t="shared" si="79"/>
        <v>0</v>
      </c>
      <c r="AJ117" s="84">
        <f t="shared" si="79"/>
        <v>0</v>
      </c>
      <c r="AK117" s="84">
        <f t="shared" si="79"/>
        <v>0</v>
      </c>
      <c r="AL117" s="84">
        <f t="shared" si="79"/>
        <v>0</v>
      </c>
      <c r="AM117" s="84">
        <f t="shared" si="79"/>
        <v>0</v>
      </c>
      <c r="AN117" s="60"/>
      <c r="AO117" s="126">
        <f t="shared" ref="AO117:AO152" si="80">SUM(D117:AM117)</f>
        <v>0</v>
      </c>
      <c r="AP117" s="127" t="b">
        <f t="shared" ref="AP117:AP153" si="81">AO117=C117</f>
        <v>1</v>
      </c>
    </row>
    <row r="118" spans="1:42" ht="12" customHeight="1" outlineLevel="1">
      <c r="A118" s="84">
        <v>2</v>
      </c>
      <c r="B118" s="60">
        <f t="shared" ref="B118:B152" si="82">B117+1</f>
        <v>2026</v>
      </c>
      <c r="C118" s="34">
        <v>0</v>
      </c>
      <c r="D118" s="60"/>
      <c r="E118" s="87">
        <f>IF(E$26,MIN($C118,MAX($C118/$C$113,$C118/(E$26/12))),0)</f>
        <v>0</v>
      </c>
      <c r="F118" s="84">
        <f t="shared" ref="F118:AM118" si="83">IF(AND(F$24-$A118&lt;$C$113,F$26&gt;0),E118*(F$25/12),0)</f>
        <v>0</v>
      </c>
      <c r="G118" s="84">
        <f t="shared" si="83"/>
        <v>0</v>
      </c>
      <c r="H118" s="84">
        <f t="shared" si="83"/>
        <v>0</v>
      </c>
      <c r="I118" s="84">
        <f t="shared" si="83"/>
        <v>0</v>
      </c>
      <c r="J118" s="84">
        <f t="shared" si="83"/>
        <v>0</v>
      </c>
      <c r="K118" s="84">
        <f t="shared" si="83"/>
        <v>0</v>
      </c>
      <c r="L118" s="84">
        <f t="shared" si="83"/>
        <v>0</v>
      </c>
      <c r="M118" s="84">
        <f t="shared" si="83"/>
        <v>0</v>
      </c>
      <c r="N118" s="84">
        <f t="shared" si="83"/>
        <v>0</v>
      </c>
      <c r="O118" s="84">
        <f t="shared" si="83"/>
        <v>0</v>
      </c>
      <c r="P118" s="84">
        <f t="shared" si="83"/>
        <v>0</v>
      </c>
      <c r="Q118" s="84">
        <f t="shared" si="83"/>
        <v>0</v>
      </c>
      <c r="R118" s="84">
        <f t="shared" si="83"/>
        <v>0</v>
      </c>
      <c r="S118" s="84">
        <f t="shared" si="83"/>
        <v>0</v>
      </c>
      <c r="T118" s="84">
        <f t="shared" si="83"/>
        <v>0</v>
      </c>
      <c r="U118" s="84">
        <f t="shared" si="83"/>
        <v>0</v>
      </c>
      <c r="V118" s="84">
        <f t="shared" si="83"/>
        <v>0</v>
      </c>
      <c r="W118" s="84">
        <f t="shared" si="83"/>
        <v>0</v>
      </c>
      <c r="X118" s="84">
        <f t="shared" si="83"/>
        <v>0</v>
      </c>
      <c r="Y118" s="84">
        <f t="shared" si="83"/>
        <v>0</v>
      </c>
      <c r="Z118" s="84">
        <f t="shared" si="83"/>
        <v>0</v>
      </c>
      <c r="AA118" s="84">
        <f t="shared" si="83"/>
        <v>0</v>
      </c>
      <c r="AB118" s="84">
        <f t="shared" si="83"/>
        <v>0</v>
      </c>
      <c r="AC118" s="84">
        <f t="shared" si="83"/>
        <v>0</v>
      </c>
      <c r="AD118" s="84">
        <f t="shared" si="83"/>
        <v>0</v>
      </c>
      <c r="AE118" s="84">
        <f t="shared" si="83"/>
        <v>0</v>
      </c>
      <c r="AF118" s="84">
        <f t="shared" si="83"/>
        <v>0</v>
      </c>
      <c r="AG118" s="84">
        <f t="shared" si="83"/>
        <v>0</v>
      </c>
      <c r="AH118" s="84">
        <f t="shared" si="83"/>
        <v>0</v>
      </c>
      <c r="AI118" s="84">
        <f t="shared" si="83"/>
        <v>0</v>
      </c>
      <c r="AJ118" s="84">
        <f t="shared" si="83"/>
        <v>0</v>
      </c>
      <c r="AK118" s="84">
        <f t="shared" si="83"/>
        <v>0</v>
      </c>
      <c r="AL118" s="84">
        <f t="shared" si="83"/>
        <v>0</v>
      </c>
      <c r="AM118" s="84">
        <f t="shared" si="83"/>
        <v>0</v>
      </c>
      <c r="AN118" s="60"/>
      <c r="AO118" s="87">
        <f t="shared" si="80"/>
        <v>0</v>
      </c>
      <c r="AP118" s="60" t="b">
        <f t="shared" si="81"/>
        <v>1</v>
      </c>
    </row>
    <row r="119" spans="1:42" ht="12" customHeight="1" outlineLevel="1">
      <c r="A119" s="84">
        <v>3</v>
      </c>
      <c r="B119" s="60">
        <f t="shared" si="82"/>
        <v>2027</v>
      </c>
      <c r="C119" s="34">
        <v>0</v>
      </c>
      <c r="D119" s="60"/>
      <c r="E119" s="60"/>
      <c r="F119" s="87">
        <f>IF(F$26,MIN($C119,MAX($C119/$C$113,$C119/(F$26/12))),0)</f>
        <v>0</v>
      </c>
      <c r="G119" s="84">
        <f t="shared" ref="G119:AM119" si="84">IF(AND(G$24-$A119&lt;$C$113,G$26&gt;0),F119*(G$25/12),0)</f>
        <v>0</v>
      </c>
      <c r="H119" s="84">
        <f t="shared" si="84"/>
        <v>0</v>
      </c>
      <c r="I119" s="84">
        <f t="shared" si="84"/>
        <v>0</v>
      </c>
      <c r="J119" s="84">
        <f t="shared" si="84"/>
        <v>0</v>
      </c>
      <c r="K119" s="84">
        <f t="shared" si="84"/>
        <v>0</v>
      </c>
      <c r="L119" s="84">
        <f t="shared" si="84"/>
        <v>0</v>
      </c>
      <c r="M119" s="84">
        <f t="shared" si="84"/>
        <v>0</v>
      </c>
      <c r="N119" s="84">
        <f t="shared" si="84"/>
        <v>0</v>
      </c>
      <c r="O119" s="84">
        <f t="shared" si="84"/>
        <v>0</v>
      </c>
      <c r="P119" s="84">
        <f t="shared" si="84"/>
        <v>0</v>
      </c>
      <c r="Q119" s="84">
        <f t="shared" si="84"/>
        <v>0</v>
      </c>
      <c r="R119" s="84">
        <f t="shared" si="84"/>
        <v>0</v>
      </c>
      <c r="S119" s="84">
        <f t="shared" si="84"/>
        <v>0</v>
      </c>
      <c r="T119" s="84">
        <f t="shared" si="84"/>
        <v>0</v>
      </c>
      <c r="U119" s="84">
        <f t="shared" si="84"/>
        <v>0</v>
      </c>
      <c r="V119" s="84">
        <f t="shared" si="84"/>
        <v>0</v>
      </c>
      <c r="W119" s="84">
        <f t="shared" si="84"/>
        <v>0</v>
      </c>
      <c r="X119" s="84">
        <f t="shared" si="84"/>
        <v>0</v>
      </c>
      <c r="Y119" s="84">
        <f t="shared" si="84"/>
        <v>0</v>
      </c>
      <c r="Z119" s="84">
        <f t="shared" si="84"/>
        <v>0</v>
      </c>
      <c r="AA119" s="84">
        <f t="shared" si="84"/>
        <v>0</v>
      </c>
      <c r="AB119" s="84">
        <f t="shared" si="84"/>
        <v>0</v>
      </c>
      <c r="AC119" s="84">
        <f t="shared" si="84"/>
        <v>0</v>
      </c>
      <c r="AD119" s="84">
        <f t="shared" si="84"/>
        <v>0</v>
      </c>
      <c r="AE119" s="84">
        <f t="shared" si="84"/>
        <v>0</v>
      </c>
      <c r="AF119" s="84">
        <f t="shared" si="84"/>
        <v>0</v>
      </c>
      <c r="AG119" s="84">
        <f t="shared" si="84"/>
        <v>0</v>
      </c>
      <c r="AH119" s="84">
        <f t="shared" si="84"/>
        <v>0</v>
      </c>
      <c r="AI119" s="84">
        <f t="shared" si="84"/>
        <v>0</v>
      </c>
      <c r="AJ119" s="84">
        <f t="shared" si="84"/>
        <v>0</v>
      </c>
      <c r="AK119" s="84">
        <f t="shared" si="84"/>
        <v>0</v>
      </c>
      <c r="AL119" s="84">
        <f t="shared" si="84"/>
        <v>0</v>
      </c>
      <c r="AM119" s="84">
        <f t="shared" si="84"/>
        <v>0</v>
      </c>
      <c r="AN119" s="60"/>
      <c r="AO119" s="87">
        <f t="shared" si="80"/>
        <v>0</v>
      </c>
      <c r="AP119" s="60" t="b">
        <f t="shared" si="81"/>
        <v>1</v>
      </c>
    </row>
    <row r="120" spans="1:42" ht="12" customHeight="1" outlineLevel="1">
      <c r="A120" s="84">
        <v>4</v>
      </c>
      <c r="B120" s="60">
        <f t="shared" si="82"/>
        <v>2028</v>
      </c>
      <c r="C120" s="34">
        <v>0</v>
      </c>
      <c r="D120" s="60"/>
      <c r="E120" s="60"/>
      <c r="F120" s="60"/>
      <c r="G120" s="87">
        <f>IF(G$26,MIN($C120,MAX($C120/$C$113,$C120/(G$26/12))),0)</f>
        <v>0</v>
      </c>
      <c r="H120" s="84">
        <f t="shared" ref="H120:AM120" si="85">IF(AND(H$24-$A120&lt;$C$113,H$26&gt;0),G120*(H$25/12),0)</f>
        <v>0</v>
      </c>
      <c r="I120" s="84">
        <f t="shared" si="85"/>
        <v>0</v>
      </c>
      <c r="J120" s="84">
        <f t="shared" si="85"/>
        <v>0</v>
      </c>
      <c r="K120" s="84">
        <f t="shared" si="85"/>
        <v>0</v>
      </c>
      <c r="L120" s="84">
        <f t="shared" si="85"/>
        <v>0</v>
      </c>
      <c r="M120" s="84">
        <f t="shared" si="85"/>
        <v>0</v>
      </c>
      <c r="N120" s="84">
        <f t="shared" si="85"/>
        <v>0</v>
      </c>
      <c r="O120" s="84">
        <f t="shared" si="85"/>
        <v>0</v>
      </c>
      <c r="P120" s="84">
        <f t="shared" si="85"/>
        <v>0</v>
      </c>
      <c r="Q120" s="84">
        <f t="shared" si="85"/>
        <v>0</v>
      </c>
      <c r="R120" s="84">
        <f t="shared" si="85"/>
        <v>0</v>
      </c>
      <c r="S120" s="84">
        <f t="shared" si="85"/>
        <v>0</v>
      </c>
      <c r="T120" s="84">
        <f t="shared" si="85"/>
        <v>0</v>
      </c>
      <c r="U120" s="84">
        <f t="shared" si="85"/>
        <v>0</v>
      </c>
      <c r="V120" s="84">
        <f t="shared" si="85"/>
        <v>0</v>
      </c>
      <c r="W120" s="84">
        <f t="shared" si="85"/>
        <v>0</v>
      </c>
      <c r="X120" s="84">
        <f t="shared" si="85"/>
        <v>0</v>
      </c>
      <c r="Y120" s="84">
        <f t="shared" si="85"/>
        <v>0</v>
      </c>
      <c r="Z120" s="84">
        <f t="shared" si="85"/>
        <v>0</v>
      </c>
      <c r="AA120" s="84">
        <f t="shared" si="85"/>
        <v>0</v>
      </c>
      <c r="AB120" s="84">
        <f t="shared" si="85"/>
        <v>0</v>
      </c>
      <c r="AC120" s="84">
        <f t="shared" si="85"/>
        <v>0</v>
      </c>
      <c r="AD120" s="84">
        <f t="shared" si="85"/>
        <v>0</v>
      </c>
      <c r="AE120" s="84">
        <f t="shared" si="85"/>
        <v>0</v>
      </c>
      <c r="AF120" s="84">
        <f t="shared" si="85"/>
        <v>0</v>
      </c>
      <c r="AG120" s="84">
        <f t="shared" si="85"/>
        <v>0</v>
      </c>
      <c r="AH120" s="84">
        <f t="shared" si="85"/>
        <v>0</v>
      </c>
      <c r="AI120" s="84">
        <f t="shared" si="85"/>
        <v>0</v>
      </c>
      <c r="AJ120" s="84">
        <f t="shared" si="85"/>
        <v>0</v>
      </c>
      <c r="AK120" s="84">
        <f t="shared" si="85"/>
        <v>0</v>
      </c>
      <c r="AL120" s="84">
        <f t="shared" si="85"/>
        <v>0</v>
      </c>
      <c r="AM120" s="84">
        <f t="shared" si="85"/>
        <v>0</v>
      </c>
      <c r="AN120" s="60"/>
      <c r="AO120" s="87">
        <f t="shared" si="80"/>
        <v>0</v>
      </c>
      <c r="AP120" s="60" t="b">
        <f t="shared" si="81"/>
        <v>1</v>
      </c>
    </row>
    <row r="121" spans="1:42" ht="12" customHeight="1" outlineLevel="1">
      <c r="A121" s="84">
        <v>5</v>
      </c>
      <c r="B121" s="60">
        <f t="shared" si="82"/>
        <v>2029</v>
      </c>
      <c r="C121" s="34">
        <v>0</v>
      </c>
      <c r="D121" s="60"/>
      <c r="E121" s="60"/>
      <c r="F121" s="60"/>
      <c r="G121" s="60"/>
      <c r="H121" s="87">
        <f>IF(H$26,MIN($C121,MAX($C121/$C$113,$C121/(H$26/12))),0)</f>
        <v>0</v>
      </c>
      <c r="I121" s="84">
        <f t="shared" ref="I121:AM121" si="86">IF(AND(I$24-$A121&lt;$C$113,I$26&gt;0),H121*(I$25/12),0)</f>
        <v>0</v>
      </c>
      <c r="J121" s="84">
        <f t="shared" si="86"/>
        <v>0</v>
      </c>
      <c r="K121" s="84">
        <f t="shared" si="86"/>
        <v>0</v>
      </c>
      <c r="L121" s="84">
        <f t="shared" si="86"/>
        <v>0</v>
      </c>
      <c r="M121" s="84">
        <f t="shared" si="86"/>
        <v>0</v>
      </c>
      <c r="N121" s="84">
        <f t="shared" si="86"/>
        <v>0</v>
      </c>
      <c r="O121" s="84">
        <f t="shared" si="86"/>
        <v>0</v>
      </c>
      <c r="P121" s="84">
        <f t="shared" si="86"/>
        <v>0</v>
      </c>
      <c r="Q121" s="84">
        <f t="shared" si="86"/>
        <v>0</v>
      </c>
      <c r="R121" s="84">
        <f t="shared" si="86"/>
        <v>0</v>
      </c>
      <c r="S121" s="84">
        <f t="shared" si="86"/>
        <v>0</v>
      </c>
      <c r="T121" s="84">
        <f t="shared" si="86"/>
        <v>0</v>
      </c>
      <c r="U121" s="84">
        <f t="shared" si="86"/>
        <v>0</v>
      </c>
      <c r="V121" s="84">
        <f t="shared" si="86"/>
        <v>0</v>
      </c>
      <c r="W121" s="84">
        <f t="shared" si="86"/>
        <v>0</v>
      </c>
      <c r="X121" s="84">
        <f t="shared" si="86"/>
        <v>0</v>
      </c>
      <c r="Y121" s="84">
        <f t="shared" si="86"/>
        <v>0</v>
      </c>
      <c r="Z121" s="84">
        <f t="shared" si="86"/>
        <v>0</v>
      </c>
      <c r="AA121" s="84">
        <f t="shared" si="86"/>
        <v>0</v>
      </c>
      <c r="AB121" s="84">
        <f t="shared" si="86"/>
        <v>0</v>
      </c>
      <c r="AC121" s="84">
        <f t="shared" si="86"/>
        <v>0</v>
      </c>
      <c r="AD121" s="84">
        <f t="shared" si="86"/>
        <v>0</v>
      </c>
      <c r="AE121" s="84">
        <f t="shared" si="86"/>
        <v>0</v>
      </c>
      <c r="AF121" s="84">
        <f t="shared" si="86"/>
        <v>0</v>
      </c>
      <c r="AG121" s="84">
        <f t="shared" si="86"/>
        <v>0</v>
      </c>
      <c r="AH121" s="84">
        <f t="shared" si="86"/>
        <v>0</v>
      </c>
      <c r="AI121" s="84">
        <f t="shared" si="86"/>
        <v>0</v>
      </c>
      <c r="AJ121" s="84">
        <f t="shared" si="86"/>
        <v>0</v>
      </c>
      <c r="AK121" s="84">
        <f t="shared" si="86"/>
        <v>0</v>
      </c>
      <c r="AL121" s="84">
        <f t="shared" si="86"/>
        <v>0</v>
      </c>
      <c r="AM121" s="84">
        <f t="shared" si="86"/>
        <v>0</v>
      </c>
      <c r="AN121" s="60"/>
      <c r="AO121" s="87">
        <f t="shared" si="80"/>
        <v>0</v>
      </c>
      <c r="AP121" s="60" t="b">
        <f t="shared" si="81"/>
        <v>1</v>
      </c>
    </row>
    <row r="122" spans="1:42" ht="12" customHeight="1" outlineLevel="1">
      <c r="A122" s="84">
        <v>6</v>
      </c>
      <c r="B122" s="60">
        <f t="shared" si="82"/>
        <v>2030</v>
      </c>
      <c r="C122" s="34">
        <v>0</v>
      </c>
      <c r="D122" s="60"/>
      <c r="E122" s="60"/>
      <c r="F122" s="60"/>
      <c r="G122" s="60"/>
      <c r="H122" s="60"/>
      <c r="I122" s="87">
        <f>IF(I$26,MIN($C122,MAX($C122/$C$113,$C122/(I$26/12))),0)</f>
        <v>0</v>
      </c>
      <c r="J122" s="84">
        <f t="shared" ref="J122:AM122" si="87">IF(AND(J$24-$A122&lt;$C$113,J$26&gt;0),I122*(J$25/12),0)</f>
        <v>0</v>
      </c>
      <c r="K122" s="84">
        <f t="shared" si="87"/>
        <v>0</v>
      </c>
      <c r="L122" s="84">
        <f t="shared" si="87"/>
        <v>0</v>
      </c>
      <c r="M122" s="84">
        <f t="shared" si="87"/>
        <v>0</v>
      </c>
      <c r="N122" s="84">
        <f t="shared" si="87"/>
        <v>0</v>
      </c>
      <c r="O122" s="84">
        <f t="shared" si="87"/>
        <v>0</v>
      </c>
      <c r="P122" s="84">
        <f t="shared" si="87"/>
        <v>0</v>
      </c>
      <c r="Q122" s="84">
        <f t="shared" si="87"/>
        <v>0</v>
      </c>
      <c r="R122" s="84">
        <f t="shared" si="87"/>
        <v>0</v>
      </c>
      <c r="S122" s="84">
        <f t="shared" si="87"/>
        <v>0</v>
      </c>
      <c r="T122" s="84">
        <f t="shared" si="87"/>
        <v>0</v>
      </c>
      <c r="U122" s="84">
        <f t="shared" si="87"/>
        <v>0</v>
      </c>
      <c r="V122" s="84">
        <f t="shared" si="87"/>
        <v>0</v>
      </c>
      <c r="W122" s="84">
        <f t="shared" si="87"/>
        <v>0</v>
      </c>
      <c r="X122" s="84">
        <f t="shared" si="87"/>
        <v>0</v>
      </c>
      <c r="Y122" s="84">
        <f t="shared" si="87"/>
        <v>0</v>
      </c>
      <c r="Z122" s="84">
        <f t="shared" si="87"/>
        <v>0</v>
      </c>
      <c r="AA122" s="84">
        <f t="shared" si="87"/>
        <v>0</v>
      </c>
      <c r="AB122" s="84">
        <f t="shared" si="87"/>
        <v>0</v>
      </c>
      <c r="AC122" s="84">
        <f t="shared" si="87"/>
        <v>0</v>
      </c>
      <c r="AD122" s="84">
        <f t="shared" si="87"/>
        <v>0</v>
      </c>
      <c r="AE122" s="84">
        <f t="shared" si="87"/>
        <v>0</v>
      </c>
      <c r="AF122" s="84">
        <f t="shared" si="87"/>
        <v>0</v>
      </c>
      <c r="AG122" s="84">
        <f t="shared" si="87"/>
        <v>0</v>
      </c>
      <c r="AH122" s="84">
        <f t="shared" si="87"/>
        <v>0</v>
      </c>
      <c r="AI122" s="84">
        <f t="shared" si="87"/>
        <v>0</v>
      </c>
      <c r="AJ122" s="84">
        <f t="shared" si="87"/>
        <v>0</v>
      </c>
      <c r="AK122" s="84">
        <f t="shared" si="87"/>
        <v>0</v>
      </c>
      <c r="AL122" s="84">
        <f t="shared" si="87"/>
        <v>0</v>
      </c>
      <c r="AM122" s="84">
        <f t="shared" si="87"/>
        <v>0</v>
      </c>
      <c r="AN122" s="60"/>
      <c r="AO122" s="87">
        <f t="shared" si="80"/>
        <v>0</v>
      </c>
      <c r="AP122" s="60" t="b">
        <f t="shared" si="81"/>
        <v>1</v>
      </c>
    </row>
    <row r="123" spans="1:42" ht="12" customHeight="1" outlineLevel="1">
      <c r="A123" s="84">
        <v>7</v>
      </c>
      <c r="B123" s="60">
        <f t="shared" si="82"/>
        <v>2031</v>
      </c>
      <c r="C123" s="34">
        <v>0</v>
      </c>
      <c r="D123" s="60"/>
      <c r="E123" s="60"/>
      <c r="F123" s="60"/>
      <c r="G123" s="60"/>
      <c r="H123" s="60"/>
      <c r="I123" s="60"/>
      <c r="J123" s="87">
        <f>IF(J$26,MIN($C123,MAX($C123/$C$113,$C123/(J$26/12))),0)</f>
        <v>0</v>
      </c>
      <c r="K123" s="84">
        <f t="shared" ref="K123:AM123" si="88">IF(AND(K$24-$A123&lt;$C$113,K$26&gt;0),J123*(K$25/12),0)</f>
        <v>0</v>
      </c>
      <c r="L123" s="84">
        <f t="shared" si="88"/>
        <v>0</v>
      </c>
      <c r="M123" s="84">
        <f t="shared" si="88"/>
        <v>0</v>
      </c>
      <c r="N123" s="84">
        <f t="shared" si="88"/>
        <v>0</v>
      </c>
      <c r="O123" s="84">
        <f t="shared" si="88"/>
        <v>0</v>
      </c>
      <c r="P123" s="84">
        <f t="shared" si="88"/>
        <v>0</v>
      </c>
      <c r="Q123" s="84">
        <f t="shared" si="88"/>
        <v>0</v>
      </c>
      <c r="R123" s="84">
        <f t="shared" si="88"/>
        <v>0</v>
      </c>
      <c r="S123" s="84">
        <f t="shared" si="88"/>
        <v>0</v>
      </c>
      <c r="T123" s="84">
        <f t="shared" si="88"/>
        <v>0</v>
      </c>
      <c r="U123" s="84">
        <f t="shared" si="88"/>
        <v>0</v>
      </c>
      <c r="V123" s="84">
        <f t="shared" si="88"/>
        <v>0</v>
      </c>
      <c r="W123" s="84">
        <f t="shared" si="88"/>
        <v>0</v>
      </c>
      <c r="X123" s="84">
        <f t="shared" si="88"/>
        <v>0</v>
      </c>
      <c r="Y123" s="84">
        <f t="shared" si="88"/>
        <v>0</v>
      </c>
      <c r="Z123" s="84">
        <f t="shared" si="88"/>
        <v>0</v>
      </c>
      <c r="AA123" s="84">
        <f t="shared" si="88"/>
        <v>0</v>
      </c>
      <c r="AB123" s="84">
        <f t="shared" si="88"/>
        <v>0</v>
      </c>
      <c r="AC123" s="84">
        <f t="shared" si="88"/>
        <v>0</v>
      </c>
      <c r="AD123" s="84">
        <f t="shared" si="88"/>
        <v>0</v>
      </c>
      <c r="AE123" s="84">
        <f t="shared" si="88"/>
        <v>0</v>
      </c>
      <c r="AF123" s="84">
        <f t="shared" si="88"/>
        <v>0</v>
      </c>
      <c r="AG123" s="84">
        <f t="shared" si="88"/>
        <v>0</v>
      </c>
      <c r="AH123" s="84">
        <f t="shared" si="88"/>
        <v>0</v>
      </c>
      <c r="AI123" s="84">
        <f t="shared" si="88"/>
        <v>0</v>
      </c>
      <c r="AJ123" s="84">
        <f t="shared" si="88"/>
        <v>0</v>
      </c>
      <c r="AK123" s="84">
        <f t="shared" si="88"/>
        <v>0</v>
      </c>
      <c r="AL123" s="84">
        <f t="shared" si="88"/>
        <v>0</v>
      </c>
      <c r="AM123" s="84">
        <f t="shared" si="88"/>
        <v>0</v>
      </c>
      <c r="AN123" s="60"/>
      <c r="AO123" s="87">
        <f t="shared" si="80"/>
        <v>0</v>
      </c>
      <c r="AP123" s="60" t="b">
        <f t="shared" si="81"/>
        <v>1</v>
      </c>
    </row>
    <row r="124" spans="1:42" ht="12" customHeight="1" outlineLevel="1">
      <c r="A124" s="84">
        <v>8</v>
      </c>
      <c r="B124" s="60">
        <f t="shared" si="82"/>
        <v>2032</v>
      </c>
      <c r="C124" s="34">
        <v>0</v>
      </c>
      <c r="D124" s="60"/>
      <c r="E124" s="60"/>
      <c r="F124" s="60"/>
      <c r="G124" s="60"/>
      <c r="H124" s="60"/>
      <c r="I124" s="60"/>
      <c r="J124" s="60"/>
      <c r="K124" s="87">
        <f>IF(K$26,MIN($C124,MAX($C124/$C$113,$C124/(K$26/12))),0)</f>
        <v>0</v>
      </c>
      <c r="L124" s="84">
        <f t="shared" ref="L124:AM124" si="89">IF(AND(L$24-$A124&lt;$C$113,L$26&gt;0),K124*(L$25/12),0)</f>
        <v>0</v>
      </c>
      <c r="M124" s="84">
        <f t="shared" si="89"/>
        <v>0</v>
      </c>
      <c r="N124" s="84">
        <f t="shared" si="89"/>
        <v>0</v>
      </c>
      <c r="O124" s="84">
        <f t="shared" si="89"/>
        <v>0</v>
      </c>
      <c r="P124" s="84">
        <f t="shared" si="89"/>
        <v>0</v>
      </c>
      <c r="Q124" s="84">
        <f t="shared" si="89"/>
        <v>0</v>
      </c>
      <c r="R124" s="84">
        <f t="shared" si="89"/>
        <v>0</v>
      </c>
      <c r="S124" s="84">
        <f t="shared" si="89"/>
        <v>0</v>
      </c>
      <c r="T124" s="84">
        <f t="shared" si="89"/>
        <v>0</v>
      </c>
      <c r="U124" s="84">
        <f t="shared" si="89"/>
        <v>0</v>
      </c>
      <c r="V124" s="84">
        <f t="shared" si="89"/>
        <v>0</v>
      </c>
      <c r="W124" s="84">
        <f t="shared" si="89"/>
        <v>0</v>
      </c>
      <c r="X124" s="84">
        <f t="shared" si="89"/>
        <v>0</v>
      </c>
      <c r="Y124" s="84">
        <f t="shared" si="89"/>
        <v>0</v>
      </c>
      <c r="Z124" s="84">
        <f t="shared" si="89"/>
        <v>0</v>
      </c>
      <c r="AA124" s="84">
        <f t="shared" si="89"/>
        <v>0</v>
      </c>
      <c r="AB124" s="84">
        <f t="shared" si="89"/>
        <v>0</v>
      </c>
      <c r="AC124" s="84">
        <f t="shared" si="89"/>
        <v>0</v>
      </c>
      <c r="AD124" s="84">
        <f t="shared" si="89"/>
        <v>0</v>
      </c>
      <c r="AE124" s="84">
        <f t="shared" si="89"/>
        <v>0</v>
      </c>
      <c r="AF124" s="84">
        <f t="shared" si="89"/>
        <v>0</v>
      </c>
      <c r="AG124" s="84">
        <f t="shared" si="89"/>
        <v>0</v>
      </c>
      <c r="AH124" s="84">
        <f t="shared" si="89"/>
        <v>0</v>
      </c>
      <c r="AI124" s="84">
        <f t="shared" si="89"/>
        <v>0</v>
      </c>
      <c r="AJ124" s="84">
        <f t="shared" si="89"/>
        <v>0</v>
      </c>
      <c r="AK124" s="84">
        <f t="shared" si="89"/>
        <v>0</v>
      </c>
      <c r="AL124" s="84">
        <f t="shared" si="89"/>
        <v>0</v>
      </c>
      <c r="AM124" s="84">
        <f t="shared" si="89"/>
        <v>0</v>
      </c>
      <c r="AN124" s="60"/>
      <c r="AO124" s="87">
        <f t="shared" si="80"/>
        <v>0</v>
      </c>
      <c r="AP124" s="60" t="b">
        <f t="shared" si="81"/>
        <v>1</v>
      </c>
    </row>
    <row r="125" spans="1:42" ht="12" customHeight="1" outlineLevel="1">
      <c r="A125" s="84">
        <v>9</v>
      </c>
      <c r="B125" s="60">
        <f t="shared" si="82"/>
        <v>2033</v>
      </c>
      <c r="C125" s="34">
        <v>0</v>
      </c>
      <c r="D125" s="60"/>
      <c r="E125" s="60"/>
      <c r="F125" s="60"/>
      <c r="G125" s="60"/>
      <c r="H125" s="60"/>
      <c r="I125" s="60"/>
      <c r="J125" s="60"/>
      <c r="K125" s="60"/>
      <c r="L125" s="87">
        <f>IF(L$26,MIN($C125,MAX($C125/$C$113,$C125/(L$26/12))),0)</f>
        <v>0</v>
      </c>
      <c r="M125" s="84">
        <f t="shared" ref="M125:AM125" si="90">IF(AND(M$24-$A125&lt;$C$113,M$26&gt;0),L125*(M$25/12),0)</f>
        <v>0</v>
      </c>
      <c r="N125" s="84">
        <f t="shared" si="90"/>
        <v>0</v>
      </c>
      <c r="O125" s="84">
        <f t="shared" si="90"/>
        <v>0</v>
      </c>
      <c r="P125" s="84">
        <f t="shared" si="90"/>
        <v>0</v>
      </c>
      <c r="Q125" s="84">
        <f t="shared" si="90"/>
        <v>0</v>
      </c>
      <c r="R125" s="84">
        <f t="shared" si="90"/>
        <v>0</v>
      </c>
      <c r="S125" s="84">
        <f t="shared" si="90"/>
        <v>0</v>
      </c>
      <c r="T125" s="84">
        <f t="shared" si="90"/>
        <v>0</v>
      </c>
      <c r="U125" s="84">
        <f t="shared" si="90"/>
        <v>0</v>
      </c>
      <c r="V125" s="84">
        <f t="shared" si="90"/>
        <v>0</v>
      </c>
      <c r="W125" s="84">
        <f t="shared" si="90"/>
        <v>0</v>
      </c>
      <c r="X125" s="84">
        <f t="shared" si="90"/>
        <v>0</v>
      </c>
      <c r="Y125" s="84">
        <f t="shared" si="90"/>
        <v>0</v>
      </c>
      <c r="Z125" s="84">
        <f t="shared" si="90"/>
        <v>0</v>
      </c>
      <c r="AA125" s="84">
        <f t="shared" si="90"/>
        <v>0</v>
      </c>
      <c r="AB125" s="84">
        <f t="shared" si="90"/>
        <v>0</v>
      </c>
      <c r="AC125" s="84">
        <f t="shared" si="90"/>
        <v>0</v>
      </c>
      <c r="AD125" s="84">
        <f t="shared" si="90"/>
        <v>0</v>
      </c>
      <c r="AE125" s="84">
        <f t="shared" si="90"/>
        <v>0</v>
      </c>
      <c r="AF125" s="84">
        <f t="shared" si="90"/>
        <v>0</v>
      </c>
      <c r="AG125" s="84">
        <f t="shared" si="90"/>
        <v>0</v>
      </c>
      <c r="AH125" s="84">
        <f t="shared" si="90"/>
        <v>0</v>
      </c>
      <c r="AI125" s="84">
        <f t="shared" si="90"/>
        <v>0</v>
      </c>
      <c r="AJ125" s="84">
        <f t="shared" si="90"/>
        <v>0</v>
      </c>
      <c r="AK125" s="84">
        <f t="shared" si="90"/>
        <v>0</v>
      </c>
      <c r="AL125" s="84">
        <f t="shared" si="90"/>
        <v>0</v>
      </c>
      <c r="AM125" s="84">
        <f t="shared" si="90"/>
        <v>0</v>
      </c>
      <c r="AN125" s="60"/>
      <c r="AO125" s="87">
        <f t="shared" si="80"/>
        <v>0</v>
      </c>
      <c r="AP125" s="60" t="b">
        <f t="shared" si="81"/>
        <v>1</v>
      </c>
    </row>
    <row r="126" spans="1:42" ht="12" customHeight="1" outlineLevel="1">
      <c r="A126" s="84">
        <v>10</v>
      </c>
      <c r="B126" s="60">
        <f t="shared" si="82"/>
        <v>2034</v>
      </c>
      <c r="C126" s="34">
        <v>0</v>
      </c>
      <c r="D126" s="60"/>
      <c r="E126" s="60"/>
      <c r="F126" s="60"/>
      <c r="G126" s="60"/>
      <c r="H126" s="60"/>
      <c r="I126" s="60"/>
      <c r="J126" s="60"/>
      <c r="K126" s="60"/>
      <c r="L126" s="60"/>
      <c r="M126" s="87">
        <f>IF(M$26,MIN($C126,MAX($C126/$C$113,$C126/(M$26/12))),0)</f>
        <v>0</v>
      </c>
      <c r="N126" s="84">
        <f t="shared" ref="N126:AM126" si="91">IF(AND(N$24-$A126&lt;$C$113,N$26&gt;0),M126*(N$25/12),0)</f>
        <v>0</v>
      </c>
      <c r="O126" s="84">
        <f t="shared" si="91"/>
        <v>0</v>
      </c>
      <c r="P126" s="84">
        <f t="shared" si="91"/>
        <v>0</v>
      </c>
      <c r="Q126" s="84">
        <f t="shared" si="91"/>
        <v>0</v>
      </c>
      <c r="R126" s="84">
        <f t="shared" si="91"/>
        <v>0</v>
      </c>
      <c r="S126" s="84">
        <f t="shared" si="91"/>
        <v>0</v>
      </c>
      <c r="T126" s="84">
        <f t="shared" si="91"/>
        <v>0</v>
      </c>
      <c r="U126" s="84">
        <f t="shared" si="91"/>
        <v>0</v>
      </c>
      <c r="V126" s="84">
        <f t="shared" si="91"/>
        <v>0</v>
      </c>
      <c r="W126" s="84">
        <f t="shared" si="91"/>
        <v>0</v>
      </c>
      <c r="X126" s="84">
        <f t="shared" si="91"/>
        <v>0</v>
      </c>
      <c r="Y126" s="84">
        <f t="shared" si="91"/>
        <v>0</v>
      </c>
      <c r="Z126" s="84">
        <f t="shared" si="91"/>
        <v>0</v>
      </c>
      <c r="AA126" s="84">
        <f t="shared" si="91"/>
        <v>0</v>
      </c>
      <c r="AB126" s="84">
        <f t="shared" si="91"/>
        <v>0</v>
      </c>
      <c r="AC126" s="84">
        <f t="shared" si="91"/>
        <v>0</v>
      </c>
      <c r="AD126" s="84">
        <f t="shared" si="91"/>
        <v>0</v>
      </c>
      <c r="AE126" s="84">
        <f t="shared" si="91"/>
        <v>0</v>
      </c>
      <c r="AF126" s="84">
        <f t="shared" si="91"/>
        <v>0</v>
      </c>
      <c r="AG126" s="84">
        <f t="shared" si="91"/>
        <v>0</v>
      </c>
      <c r="AH126" s="84">
        <f t="shared" si="91"/>
        <v>0</v>
      </c>
      <c r="AI126" s="84">
        <f t="shared" si="91"/>
        <v>0</v>
      </c>
      <c r="AJ126" s="84">
        <f t="shared" si="91"/>
        <v>0</v>
      </c>
      <c r="AK126" s="84">
        <f t="shared" si="91"/>
        <v>0</v>
      </c>
      <c r="AL126" s="84">
        <f t="shared" si="91"/>
        <v>0</v>
      </c>
      <c r="AM126" s="84">
        <f t="shared" si="91"/>
        <v>0</v>
      </c>
      <c r="AN126" s="60"/>
      <c r="AO126" s="87">
        <f t="shared" si="80"/>
        <v>0</v>
      </c>
      <c r="AP126" s="60" t="b">
        <f t="shared" si="81"/>
        <v>1</v>
      </c>
    </row>
    <row r="127" spans="1:42" ht="12" customHeight="1" outlineLevel="1">
      <c r="A127" s="84">
        <v>11</v>
      </c>
      <c r="B127" s="60">
        <f t="shared" si="82"/>
        <v>2035</v>
      </c>
      <c r="C127" s="34">
        <v>0</v>
      </c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87">
        <f>IF(N$26,MIN($C127,MAX($C127/$C$113,$C127/(N$26/12))),0)</f>
        <v>0</v>
      </c>
      <c r="O127" s="84">
        <f t="shared" ref="O127:AM127" si="92">IF(AND(O$24-$A127&lt;$C$113,O$26&gt;0),N127*(O$25/12),0)</f>
        <v>0</v>
      </c>
      <c r="P127" s="84">
        <f t="shared" si="92"/>
        <v>0</v>
      </c>
      <c r="Q127" s="84">
        <f t="shared" si="92"/>
        <v>0</v>
      </c>
      <c r="R127" s="84">
        <f t="shared" si="92"/>
        <v>0</v>
      </c>
      <c r="S127" s="84">
        <f t="shared" si="92"/>
        <v>0</v>
      </c>
      <c r="T127" s="84">
        <f t="shared" si="92"/>
        <v>0</v>
      </c>
      <c r="U127" s="84">
        <f t="shared" si="92"/>
        <v>0</v>
      </c>
      <c r="V127" s="84">
        <f t="shared" si="92"/>
        <v>0</v>
      </c>
      <c r="W127" s="84">
        <f t="shared" si="92"/>
        <v>0</v>
      </c>
      <c r="X127" s="84">
        <f t="shared" si="92"/>
        <v>0</v>
      </c>
      <c r="Y127" s="84">
        <f t="shared" si="92"/>
        <v>0</v>
      </c>
      <c r="Z127" s="84">
        <f t="shared" si="92"/>
        <v>0</v>
      </c>
      <c r="AA127" s="84">
        <f t="shared" si="92"/>
        <v>0</v>
      </c>
      <c r="AB127" s="84">
        <f t="shared" si="92"/>
        <v>0</v>
      </c>
      <c r="AC127" s="84">
        <f t="shared" si="92"/>
        <v>0</v>
      </c>
      <c r="AD127" s="84">
        <f t="shared" si="92"/>
        <v>0</v>
      </c>
      <c r="AE127" s="84">
        <f t="shared" si="92"/>
        <v>0</v>
      </c>
      <c r="AF127" s="84">
        <f t="shared" si="92"/>
        <v>0</v>
      </c>
      <c r="AG127" s="84">
        <f t="shared" si="92"/>
        <v>0</v>
      </c>
      <c r="AH127" s="84">
        <f t="shared" si="92"/>
        <v>0</v>
      </c>
      <c r="AI127" s="84">
        <f t="shared" si="92"/>
        <v>0</v>
      </c>
      <c r="AJ127" s="84">
        <f t="shared" si="92"/>
        <v>0</v>
      </c>
      <c r="AK127" s="84">
        <f t="shared" si="92"/>
        <v>0</v>
      </c>
      <c r="AL127" s="84">
        <f t="shared" si="92"/>
        <v>0</v>
      </c>
      <c r="AM127" s="84">
        <f t="shared" si="92"/>
        <v>0</v>
      </c>
      <c r="AN127" s="60"/>
      <c r="AO127" s="87">
        <f t="shared" si="80"/>
        <v>0</v>
      </c>
      <c r="AP127" s="60" t="b">
        <f t="shared" si="81"/>
        <v>1</v>
      </c>
    </row>
    <row r="128" spans="1:42" ht="12" customHeight="1" outlineLevel="1">
      <c r="A128" s="84">
        <v>12</v>
      </c>
      <c r="B128" s="60">
        <f t="shared" si="82"/>
        <v>2036</v>
      </c>
      <c r="C128" s="34">
        <v>0</v>
      </c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87">
        <f>IF(O$26,MIN($C128,MAX($C128/$C$113,$C128/(O$26/12))),0)</f>
        <v>0</v>
      </c>
      <c r="P128" s="84">
        <f t="shared" ref="P128:AM128" si="93">IF(AND(P$24-$A128&lt;$C$113,P$26&gt;0),O128*(P$25/12),0)</f>
        <v>0</v>
      </c>
      <c r="Q128" s="84">
        <f t="shared" si="93"/>
        <v>0</v>
      </c>
      <c r="R128" s="84">
        <f t="shared" si="93"/>
        <v>0</v>
      </c>
      <c r="S128" s="84">
        <f t="shared" si="93"/>
        <v>0</v>
      </c>
      <c r="T128" s="84">
        <f t="shared" si="93"/>
        <v>0</v>
      </c>
      <c r="U128" s="84">
        <f t="shared" si="93"/>
        <v>0</v>
      </c>
      <c r="V128" s="84">
        <f t="shared" si="93"/>
        <v>0</v>
      </c>
      <c r="W128" s="84">
        <f t="shared" si="93"/>
        <v>0</v>
      </c>
      <c r="X128" s="84">
        <f t="shared" si="93"/>
        <v>0</v>
      </c>
      <c r="Y128" s="84">
        <f t="shared" si="93"/>
        <v>0</v>
      </c>
      <c r="Z128" s="84">
        <f t="shared" si="93"/>
        <v>0</v>
      </c>
      <c r="AA128" s="84">
        <f t="shared" si="93"/>
        <v>0</v>
      </c>
      <c r="AB128" s="84">
        <f t="shared" si="93"/>
        <v>0</v>
      </c>
      <c r="AC128" s="84">
        <f t="shared" si="93"/>
        <v>0</v>
      </c>
      <c r="AD128" s="84">
        <f t="shared" si="93"/>
        <v>0</v>
      </c>
      <c r="AE128" s="84">
        <f t="shared" si="93"/>
        <v>0</v>
      </c>
      <c r="AF128" s="84">
        <f t="shared" si="93"/>
        <v>0</v>
      </c>
      <c r="AG128" s="84">
        <f t="shared" si="93"/>
        <v>0</v>
      </c>
      <c r="AH128" s="84">
        <f t="shared" si="93"/>
        <v>0</v>
      </c>
      <c r="AI128" s="84">
        <f t="shared" si="93"/>
        <v>0</v>
      </c>
      <c r="AJ128" s="84">
        <f t="shared" si="93"/>
        <v>0</v>
      </c>
      <c r="AK128" s="84">
        <f t="shared" si="93"/>
        <v>0</v>
      </c>
      <c r="AL128" s="84">
        <f t="shared" si="93"/>
        <v>0</v>
      </c>
      <c r="AM128" s="84">
        <f t="shared" si="93"/>
        <v>0</v>
      </c>
      <c r="AN128" s="60"/>
      <c r="AO128" s="87">
        <f t="shared" si="80"/>
        <v>0</v>
      </c>
      <c r="AP128" s="60" t="b">
        <f t="shared" si="81"/>
        <v>1</v>
      </c>
    </row>
    <row r="129" spans="1:42" ht="12" customHeight="1" outlineLevel="1">
      <c r="A129" s="84">
        <v>13</v>
      </c>
      <c r="B129" s="60">
        <f t="shared" si="82"/>
        <v>2037</v>
      </c>
      <c r="C129" s="34">
        <v>0</v>
      </c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87">
        <f>IF(P$26,MIN($C129,MAX($C129/$C$113,$C129/(P$26/12))),0)</f>
        <v>0</v>
      </c>
      <c r="Q129" s="84">
        <f t="shared" ref="Q129:AM129" si="94">IF(AND(Q$24-$A129&lt;$C$113,Q$26&gt;0),P129*(Q$25/12),0)</f>
        <v>0</v>
      </c>
      <c r="R129" s="84">
        <f t="shared" si="94"/>
        <v>0</v>
      </c>
      <c r="S129" s="84">
        <f t="shared" si="94"/>
        <v>0</v>
      </c>
      <c r="T129" s="84">
        <f t="shared" si="94"/>
        <v>0</v>
      </c>
      <c r="U129" s="84">
        <f t="shared" si="94"/>
        <v>0</v>
      </c>
      <c r="V129" s="84">
        <f t="shared" si="94"/>
        <v>0</v>
      </c>
      <c r="W129" s="84">
        <f t="shared" si="94"/>
        <v>0</v>
      </c>
      <c r="X129" s="84">
        <f t="shared" si="94"/>
        <v>0</v>
      </c>
      <c r="Y129" s="84">
        <f t="shared" si="94"/>
        <v>0</v>
      </c>
      <c r="Z129" s="84">
        <f t="shared" si="94"/>
        <v>0</v>
      </c>
      <c r="AA129" s="84">
        <f t="shared" si="94"/>
        <v>0</v>
      </c>
      <c r="AB129" s="84">
        <f t="shared" si="94"/>
        <v>0</v>
      </c>
      <c r="AC129" s="84">
        <f t="shared" si="94"/>
        <v>0</v>
      </c>
      <c r="AD129" s="84">
        <f t="shared" si="94"/>
        <v>0</v>
      </c>
      <c r="AE129" s="84">
        <f t="shared" si="94"/>
        <v>0</v>
      </c>
      <c r="AF129" s="84">
        <f t="shared" si="94"/>
        <v>0</v>
      </c>
      <c r="AG129" s="84">
        <f t="shared" si="94"/>
        <v>0</v>
      </c>
      <c r="AH129" s="84">
        <f t="shared" si="94"/>
        <v>0</v>
      </c>
      <c r="AI129" s="84">
        <f t="shared" si="94"/>
        <v>0</v>
      </c>
      <c r="AJ129" s="84">
        <f t="shared" si="94"/>
        <v>0</v>
      </c>
      <c r="AK129" s="84">
        <f t="shared" si="94"/>
        <v>0</v>
      </c>
      <c r="AL129" s="84">
        <f t="shared" si="94"/>
        <v>0</v>
      </c>
      <c r="AM129" s="84">
        <f t="shared" si="94"/>
        <v>0</v>
      </c>
      <c r="AN129" s="60"/>
      <c r="AO129" s="87">
        <f t="shared" si="80"/>
        <v>0</v>
      </c>
      <c r="AP129" s="60" t="b">
        <f t="shared" si="81"/>
        <v>1</v>
      </c>
    </row>
    <row r="130" spans="1:42" ht="12" customHeight="1" outlineLevel="1">
      <c r="A130" s="84">
        <v>14</v>
      </c>
      <c r="B130" s="60">
        <f t="shared" si="82"/>
        <v>2038</v>
      </c>
      <c r="C130" s="34">
        <v>0</v>
      </c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87">
        <f>IF(Q$26,MIN($C130,MAX($C130/$C$113,$C130/(Q$26/12))),0)</f>
        <v>0</v>
      </c>
      <c r="R130" s="84">
        <f t="shared" ref="R130:AM130" si="95">IF(AND(R$24-$A130&lt;$C$113,R$26&gt;0),Q130*(R$25/12),0)</f>
        <v>0</v>
      </c>
      <c r="S130" s="84">
        <f t="shared" si="95"/>
        <v>0</v>
      </c>
      <c r="T130" s="84">
        <f t="shared" si="95"/>
        <v>0</v>
      </c>
      <c r="U130" s="84">
        <f t="shared" si="95"/>
        <v>0</v>
      </c>
      <c r="V130" s="84">
        <f t="shared" si="95"/>
        <v>0</v>
      </c>
      <c r="W130" s="84">
        <f t="shared" si="95"/>
        <v>0</v>
      </c>
      <c r="X130" s="84">
        <f t="shared" si="95"/>
        <v>0</v>
      </c>
      <c r="Y130" s="84">
        <f t="shared" si="95"/>
        <v>0</v>
      </c>
      <c r="Z130" s="84">
        <f t="shared" si="95"/>
        <v>0</v>
      </c>
      <c r="AA130" s="84">
        <f t="shared" si="95"/>
        <v>0</v>
      </c>
      <c r="AB130" s="84">
        <f t="shared" si="95"/>
        <v>0</v>
      </c>
      <c r="AC130" s="84">
        <f t="shared" si="95"/>
        <v>0</v>
      </c>
      <c r="AD130" s="84">
        <f t="shared" si="95"/>
        <v>0</v>
      </c>
      <c r="AE130" s="84">
        <f t="shared" si="95"/>
        <v>0</v>
      </c>
      <c r="AF130" s="84">
        <f t="shared" si="95"/>
        <v>0</v>
      </c>
      <c r="AG130" s="84">
        <f t="shared" si="95"/>
        <v>0</v>
      </c>
      <c r="AH130" s="84">
        <f t="shared" si="95"/>
        <v>0</v>
      </c>
      <c r="AI130" s="84">
        <f t="shared" si="95"/>
        <v>0</v>
      </c>
      <c r="AJ130" s="84">
        <f t="shared" si="95"/>
        <v>0</v>
      </c>
      <c r="AK130" s="84">
        <f t="shared" si="95"/>
        <v>0</v>
      </c>
      <c r="AL130" s="84">
        <f t="shared" si="95"/>
        <v>0</v>
      </c>
      <c r="AM130" s="84">
        <f t="shared" si="95"/>
        <v>0</v>
      </c>
      <c r="AN130" s="60"/>
      <c r="AO130" s="87">
        <f t="shared" si="80"/>
        <v>0</v>
      </c>
      <c r="AP130" s="60" t="b">
        <f t="shared" si="81"/>
        <v>1</v>
      </c>
    </row>
    <row r="131" spans="1:42" ht="12" customHeight="1" outlineLevel="1">
      <c r="A131" s="84">
        <v>15</v>
      </c>
      <c r="B131" s="60">
        <f t="shared" si="82"/>
        <v>2039</v>
      </c>
      <c r="C131" s="34">
        <v>0</v>
      </c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87">
        <f>IF(R$26,MIN($C131,MAX($C131/$C$113,$C131/(R$26/12))),0)</f>
        <v>0</v>
      </c>
      <c r="S131" s="84">
        <f t="shared" ref="S131:AM131" si="96">IF(AND(S$24-$A131&lt;$C$113,S$26&gt;0),R131*(S$25/12),0)</f>
        <v>0</v>
      </c>
      <c r="T131" s="84">
        <f t="shared" si="96"/>
        <v>0</v>
      </c>
      <c r="U131" s="84">
        <f t="shared" si="96"/>
        <v>0</v>
      </c>
      <c r="V131" s="84">
        <f t="shared" si="96"/>
        <v>0</v>
      </c>
      <c r="W131" s="84">
        <f t="shared" si="96"/>
        <v>0</v>
      </c>
      <c r="X131" s="84">
        <f t="shared" si="96"/>
        <v>0</v>
      </c>
      <c r="Y131" s="84">
        <f t="shared" si="96"/>
        <v>0</v>
      </c>
      <c r="Z131" s="84">
        <f t="shared" si="96"/>
        <v>0</v>
      </c>
      <c r="AA131" s="84">
        <f t="shared" si="96"/>
        <v>0</v>
      </c>
      <c r="AB131" s="84">
        <f t="shared" si="96"/>
        <v>0</v>
      </c>
      <c r="AC131" s="84">
        <f t="shared" si="96"/>
        <v>0</v>
      </c>
      <c r="AD131" s="84">
        <f t="shared" si="96"/>
        <v>0</v>
      </c>
      <c r="AE131" s="84">
        <f t="shared" si="96"/>
        <v>0</v>
      </c>
      <c r="AF131" s="84">
        <f t="shared" si="96"/>
        <v>0</v>
      </c>
      <c r="AG131" s="84">
        <f t="shared" si="96"/>
        <v>0</v>
      </c>
      <c r="AH131" s="84">
        <f t="shared" si="96"/>
        <v>0</v>
      </c>
      <c r="AI131" s="84">
        <f t="shared" si="96"/>
        <v>0</v>
      </c>
      <c r="AJ131" s="84">
        <f t="shared" si="96"/>
        <v>0</v>
      </c>
      <c r="AK131" s="84">
        <f t="shared" si="96"/>
        <v>0</v>
      </c>
      <c r="AL131" s="84">
        <f t="shared" si="96"/>
        <v>0</v>
      </c>
      <c r="AM131" s="84">
        <f t="shared" si="96"/>
        <v>0</v>
      </c>
      <c r="AN131" s="60"/>
      <c r="AO131" s="87">
        <f t="shared" si="80"/>
        <v>0</v>
      </c>
      <c r="AP131" s="60" t="b">
        <f t="shared" si="81"/>
        <v>1</v>
      </c>
    </row>
    <row r="132" spans="1:42" ht="12" customHeight="1" outlineLevel="1">
      <c r="A132" s="84">
        <v>16</v>
      </c>
      <c r="B132" s="60">
        <f t="shared" si="82"/>
        <v>2040</v>
      </c>
      <c r="C132" s="34">
        <v>0</v>
      </c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87">
        <f>IF(S$26,MIN($C132,MAX($C132/$C$113,$C132/(S$26/12))),0)</f>
        <v>0</v>
      </c>
      <c r="T132" s="84">
        <f t="shared" ref="T132:AM132" si="97">IF(AND(T$24-$A132&lt;$C$113,T$26&gt;0),S132*(T$25/12),0)</f>
        <v>0</v>
      </c>
      <c r="U132" s="84">
        <f t="shared" si="97"/>
        <v>0</v>
      </c>
      <c r="V132" s="84">
        <f t="shared" si="97"/>
        <v>0</v>
      </c>
      <c r="W132" s="84">
        <f t="shared" si="97"/>
        <v>0</v>
      </c>
      <c r="X132" s="84">
        <f t="shared" si="97"/>
        <v>0</v>
      </c>
      <c r="Y132" s="84">
        <f t="shared" si="97"/>
        <v>0</v>
      </c>
      <c r="Z132" s="84">
        <f t="shared" si="97"/>
        <v>0</v>
      </c>
      <c r="AA132" s="84">
        <f t="shared" si="97"/>
        <v>0</v>
      </c>
      <c r="AB132" s="84">
        <f t="shared" si="97"/>
        <v>0</v>
      </c>
      <c r="AC132" s="84">
        <f t="shared" si="97"/>
        <v>0</v>
      </c>
      <c r="AD132" s="84">
        <f t="shared" si="97"/>
        <v>0</v>
      </c>
      <c r="AE132" s="84">
        <f t="shared" si="97"/>
        <v>0</v>
      </c>
      <c r="AF132" s="84">
        <f t="shared" si="97"/>
        <v>0</v>
      </c>
      <c r="AG132" s="84">
        <f t="shared" si="97"/>
        <v>0</v>
      </c>
      <c r="AH132" s="84">
        <f t="shared" si="97"/>
        <v>0</v>
      </c>
      <c r="AI132" s="84">
        <f t="shared" si="97"/>
        <v>0</v>
      </c>
      <c r="AJ132" s="84">
        <f t="shared" si="97"/>
        <v>0</v>
      </c>
      <c r="AK132" s="84">
        <f t="shared" si="97"/>
        <v>0</v>
      </c>
      <c r="AL132" s="84">
        <f t="shared" si="97"/>
        <v>0</v>
      </c>
      <c r="AM132" s="84">
        <f t="shared" si="97"/>
        <v>0</v>
      </c>
      <c r="AN132" s="60"/>
      <c r="AO132" s="87">
        <f t="shared" si="80"/>
        <v>0</v>
      </c>
      <c r="AP132" s="60" t="b">
        <f t="shared" si="81"/>
        <v>1</v>
      </c>
    </row>
    <row r="133" spans="1:42" ht="12" customHeight="1" outlineLevel="1">
      <c r="A133" s="84">
        <v>17</v>
      </c>
      <c r="B133" s="60">
        <f t="shared" si="82"/>
        <v>2041</v>
      </c>
      <c r="C133" s="34">
        <v>0</v>
      </c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87">
        <f>IF(T$26,MIN($C133,MAX($C133/$C$113,$C133/(T$26/12))),0)</f>
        <v>0</v>
      </c>
      <c r="U133" s="84">
        <f t="shared" ref="U133:AM133" si="98">IF(AND(U$24-$A133&lt;$C$113,U$26&gt;0),T133*(U$25/12),0)</f>
        <v>0</v>
      </c>
      <c r="V133" s="84">
        <f t="shared" si="98"/>
        <v>0</v>
      </c>
      <c r="W133" s="84">
        <f t="shared" si="98"/>
        <v>0</v>
      </c>
      <c r="X133" s="84">
        <f t="shared" si="98"/>
        <v>0</v>
      </c>
      <c r="Y133" s="84">
        <f t="shared" si="98"/>
        <v>0</v>
      </c>
      <c r="Z133" s="84">
        <f t="shared" si="98"/>
        <v>0</v>
      </c>
      <c r="AA133" s="84">
        <f t="shared" si="98"/>
        <v>0</v>
      </c>
      <c r="AB133" s="84">
        <f t="shared" si="98"/>
        <v>0</v>
      </c>
      <c r="AC133" s="84">
        <f t="shared" si="98"/>
        <v>0</v>
      </c>
      <c r="AD133" s="84">
        <f t="shared" si="98"/>
        <v>0</v>
      </c>
      <c r="AE133" s="84">
        <f t="shared" si="98"/>
        <v>0</v>
      </c>
      <c r="AF133" s="84">
        <f t="shared" si="98"/>
        <v>0</v>
      </c>
      <c r="AG133" s="84">
        <f t="shared" si="98"/>
        <v>0</v>
      </c>
      <c r="AH133" s="84">
        <f t="shared" si="98"/>
        <v>0</v>
      </c>
      <c r="AI133" s="84">
        <f t="shared" si="98"/>
        <v>0</v>
      </c>
      <c r="AJ133" s="84">
        <f t="shared" si="98"/>
        <v>0</v>
      </c>
      <c r="AK133" s="84">
        <f t="shared" si="98"/>
        <v>0</v>
      </c>
      <c r="AL133" s="84">
        <f t="shared" si="98"/>
        <v>0</v>
      </c>
      <c r="AM133" s="84">
        <f t="shared" si="98"/>
        <v>0</v>
      </c>
      <c r="AN133" s="60"/>
      <c r="AO133" s="87">
        <f t="shared" si="80"/>
        <v>0</v>
      </c>
      <c r="AP133" s="60" t="b">
        <f t="shared" si="81"/>
        <v>1</v>
      </c>
    </row>
    <row r="134" spans="1:42" ht="12" customHeight="1" outlineLevel="1">
      <c r="A134" s="84">
        <v>18</v>
      </c>
      <c r="B134" s="60">
        <f t="shared" si="82"/>
        <v>2042</v>
      </c>
      <c r="C134" s="34">
        <v>0</v>
      </c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87">
        <f>IF(U$26,MIN($C134,MAX($C134/$C$113,$C134/(U$26/12))),0)</f>
        <v>0</v>
      </c>
      <c r="V134" s="84">
        <f t="shared" ref="V134:AM134" si="99">IF(AND(V$24-$A134&lt;$C$113,V$26&gt;0),U134*(V$25/12),0)</f>
        <v>0</v>
      </c>
      <c r="W134" s="84">
        <f t="shared" si="99"/>
        <v>0</v>
      </c>
      <c r="X134" s="84">
        <f t="shared" si="99"/>
        <v>0</v>
      </c>
      <c r="Y134" s="84">
        <f t="shared" si="99"/>
        <v>0</v>
      </c>
      <c r="Z134" s="84">
        <f t="shared" si="99"/>
        <v>0</v>
      </c>
      <c r="AA134" s="84">
        <f t="shared" si="99"/>
        <v>0</v>
      </c>
      <c r="AB134" s="84">
        <f t="shared" si="99"/>
        <v>0</v>
      </c>
      <c r="AC134" s="84">
        <f t="shared" si="99"/>
        <v>0</v>
      </c>
      <c r="AD134" s="84">
        <f t="shared" si="99"/>
        <v>0</v>
      </c>
      <c r="AE134" s="84">
        <f t="shared" si="99"/>
        <v>0</v>
      </c>
      <c r="AF134" s="84">
        <f t="shared" si="99"/>
        <v>0</v>
      </c>
      <c r="AG134" s="84">
        <f t="shared" si="99"/>
        <v>0</v>
      </c>
      <c r="AH134" s="84">
        <f t="shared" si="99"/>
        <v>0</v>
      </c>
      <c r="AI134" s="84">
        <f t="shared" si="99"/>
        <v>0</v>
      </c>
      <c r="AJ134" s="84">
        <f t="shared" si="99"/>
        <v>0</v>
      </c>
      <c r="AK134" s="84">
        <f t="shared" si="99"/>
        <v>0</v>
      </c>
      <c r="AL134" s="84">
        <f t="shared" si="99"/>
        <v>0</v>
      </c>
      <c r="AM134" s="84">
        <f t="shared" si="99"/>
        <v>0</v>
      </c>
      <c r="AN134" s="60"/>
      <c r="AO134" s="87">
        <f t="shared" si="80"/>
        <v>0</v>
      </c>
      <c r="AP134" s="60" t="b">
        <f t="shared" si="81"/>
        <v>1</v>
      </c>
    </row>
    <row r="135" spans="1:42" ht="12" customHeight="1" outlineLevel="1">
      <c r="A135" s="84">
        <v>19</v>
      </c>
      <c r="B135" s="60">
        <f t="shared" si="82"/>
        <v>2043</v>
      </c>
      <c r="C135" s="34">
        <v>0</v>
      </c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87">
        <f>IF(V$26,MIN($C135,MAX($C135/$C$113,$C135/(V$26/12))),0)</f>
        <v>0</v>
      </c>
      <c r="W135" s="84">
        <f t="shared" ref="W135:AM135" si="100">IF(AND(W$24-$A135&lt;$C$113,W$26&gt;0),V135*(W$25/12),0)</f>
        <v>0</v>
      </c>
      <c r="X135" s="84">
        <f t="shared" si="100"/>
        <v>0</v>
      </c>
      <c r="Y135" s="84">
        <f t="shared" si="100"/>
        <v>0</v>
      </c>
      <c r="Z135" s="84">
        <f t="shared" si="100"/>
        <v>0</v>
      </c>
      <c r="AA135" s="84">
        <f t="shared" si="100"/>
        <v>0</v>
      </c>
      <c r="AB135" s="84">
        <f t="shared" si="100"/>
        <v>0</v>
      </c>
      <c r="AC135" s="84">
        <f t="shared" si="100"/>
        <v>0</v>
      </c>
      <c r="AD135" s="84">
        <f t="shared" si="100"/>
        <v>0</v>
      </c>
      <c r="AE135" s="84">
        <f t="shared" si="100"/>
        <v>0</v>
      </c>
      <c r="AF135" s="84">
        <f t="shared" si="100"/>
        <v>0</v>
      </c>
      <c r="AG135" s="84">
        <f t="shared" si="100"/>
        <v>0</v>
      </c>
      <c r="AH135" s="84">
        <f t="shared" si="100"/>
        <v>0</v>
      </c>
      <c r="AI135" s="84">
        <f t="shared" si="100"/>
        <v>0</v>
      </c>
      <c r="AJ135" s="84">
        <f t="shared" si="100"/>
        <v>0</v>
      </c>
      <c r="AK135" s="84">
        <f t="shared" si="100"/>
        <v>0</v>
      </c>
      <c r="AL135" s="84">
        <f t="shared" si="100"/>
        <v>0</v>
      </c>
      <c r="AM135" s="84">
        <f t="shared" si="100"/>
        <v>0</v>
      </c>
      <c r="AN135" s="60"/>
      <c r="AO135" s="87">
        <f t="shared" si="80"/>
        <v>0</v>
      </c>
      <c r="AP135" s="60" t="b">
        <f t="shared" si="81"/>
        <v>1</v>
      </c>
    </row>
    <row r="136" spans="1:42" ht="12" customHeight="1" outlineLevel="1">
      <c r="A136" s="84">
        <v>20</v>
      </c>
      <c r="B136" s="60">
        <f t="shared" si="82"/>
        <v>2044</v>
      </c>
      <c r="C136" s="34">
        <v>0</v>
      </c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87">
        <f>IF(W$26,MIN($C136,MAX($C136/$C$113,$C136/(W$26/12))),0)</f>
        <v>0</v>
      </c>
      <c r="X136" s="84">
        <f t="shared" ref="X136:AM136" si="101">IF(AND(X$24-$A136&lt;$C$113,X$26&gt;0),W136*(X$25/12),0)</f>
        <v>0</v>
      </c>
      <c r="Y136" s="84">
        <f t="shared" si="101"/>
        <v>0</v>
      </c>
      <c r="Z136" s="84">
        <f t="shared" si="101"/>
        <v>0</v>
      </c>
      <c r="AA136" s="84">
        <f t="shared" si="101"/>
        <v>0</v>
      </c>
      <c r="AB136" s="84">
        <f t="shared" si="101"/>
        <v>0</v>
      </c>
      <c r="AC136" s="84">
        <f t="shared" si="101"/>
        <v>0</v>
      </c>
      <c r="AD136" s="84">
        <f t="shared" si="101"/>
        <v>0</v>
      </c>
      <c r="AE136" s="84">
        <f t="shared" si="101"/>
        <v>0</v>
      </c>
      <c r="AF136" s="84">
        <f t="shared" si="101"/>
        <v>0</v>
      </c>
      <c r="AG136" s="84">
        <f t="shared" si="101"/>
        <v>0</v>
      </c>
      <c r="AH136" s="84">
        <f t="shared" si="101"/>
        <v>0</v>
      </c>
      <c r="AI136" s="84">
        <f t="shared" si="101"/>
        <v>0</v>
      </c>
      <c r="AJ136" s="84">
        <f t="shared" si="101"/>
        <v>0</v>
      </c>
      <c r="AK136" s="84">
        <f t="shared" si="101"/>
        <v>0</v>
      </c>
      <c r="AL136" s="84">
        <f t="shared" si="101"/>
        <v>0</v>
      </c>
      <c r="AM136" s="84">
        <f t="shared" si="101"/>
        <v>0</v>
      </c>
      <c r="AN136" s="60"/>
      <c r="AO136" s="87">
        <f t="shared" si="80"/>
        <v>0</v>
      </c>
      <c r="AP136" s="60" t="b">
        <f t="shared" si="81"/>
        <v>1</v>
      </c>
    </row>
    <row r="137" spans="1:42" ht="12" customHeight="1" outlineLevel="1">
      <c r="A137" s="84">
        <v>21</v>
      </c>
      <c r="B137" s="60">
        <f t="shared" si="82"/>
        <v>2045</v>
      </c>
      <c r="C137" s="34">
        <v>0</v>
      </c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87">
        <f>IF(X$26,MIN($C137,MAX($C137/$C$113,$C137/(X$26/12))),0)</f>
        <v>0</v>
      </c>
      <c r="Y137" s="84">
        <f t="shared" ref="Y137:AM137" si="102">IF(AND(Y$24-$A137&lt;$C$113,Y$26&gt;0),X137*(Y$25/12),0)</f>
        <v>0</v>
      </c>
      <c r="Z137" s="84">
        <f t="shared" si="102"/>
        <v>0</v>
      </c>
      <c r="AA137" s="84">
        <f t="shared" si="102"/>
        <v>0</v>
      </c>
      <c r="AB137" s="84">
        <f t="shared" si="102"/>
        <v>0</v>
      </c>
      <c r="AC137" s="84">
        <f t="shared" si="102"/>
        <v>0</v>
      </c>
      <c r="AD137" s="84">
        <f t="shared" si="102"/>
        <v>0</v>
      </c>
      <c r="AE137" s="84">
        <f t="shared" si="102"/>
        <v>0</v>
      </c>
      <c r="AF137" s="84">
        <f t="shared" si="102"/>
        <v>0</v>
      </c>
      <c r="AG137" s="84">
        <f t="shared" si="102"/>
        <v>0</v>
      </c>
      <c r="AH137" s="84">
        <f t="shared" si="102"/>
        <v>0</v>
      </c>
      <c r="AI137" s="84">
        <f t="shared" si="102"/>
        <v>0</v>
      </c>
      <c r="AJ137" s="84">
        <f t="shared" si="102"/>
        <v>0</v>
      </c>
      <c r="AK137" s="84">
        <f t="shared" si="102"/>
        <v>0</v>
      </c>
      <c r="AL137" s="84">
        <f t="shared" si="102"/>
        <v>0</v>
      </c>
      <c r="AM137" s="84">
        <f t="shared" si="102"/>
        <v>0</v>
      </c>
      <c r="AN137" s="60"/>
      <c r="AO137" s="87">
        <f t="shared" si="80"/>
        <v>0</v>
      </c>
      <c r="AP137" s="60" t="b">
        <f t="shared" si="81"/>
        <v>1</v>
      </c>
    </row>
    <row r="138" spans="1:42" ht="12" customHeight="1" outlineLevel="1">
      <c r="A138" s="84">
        <v>22</v>
      </c>
      <c r="B138" s="60">
        <f t="shared" si="82"/>
        <v>2046</v>
      </c>
      <c r="C138" s="34">
        <v>0</v>
      </c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87">
        <f>IF(Y$26,MIN($C138,MAX($C138/$C$113,$C138/(Y$26/12))),0)</f>
        <v>0</v>
      </c>
      <c r="Z138" s="84">
        <f t="shared" ref="Z138:AM138" si="103">IF(AND(Z$24-$A138&lt;$C$113,Z$26&gt;0),Y138*(Z$25/12),0)</f>
        <v>0</v>
      </c>
      <c r="AA138" s="84">
        <f t="shared" si="103"/>
        <v>0</v>
      </c>
      <c r="AB138" s="84">
        <f t="shared" si="103"/>
        <v>0</v>
      </c>
      <c r="AC138" s="84">
        <f t="shared" si="103"/>
        <v>0</v>
      </c>
      <c r="AD138" s="84">
        <f t="shared" si="103"/>
        <v>0</v>
      </c>
      <c r="AE138" s="84">
        <f t="shared" si="103"/>
        <v>0</v>
      </c>
      <c r="AF138" s="84">
        <f t="shared" si="103"/>
        <v>0</v>
      </c>
      <c r="AG138" s="84">
        <f t="shared" si="103"/>
        <v>0</v>
      </c>
      <c r="AH138" s="84">
        <f t="shared" si="103"/>
        <v>0</v>
      </c>
      <c r="AI138" s="84">
        <f t="shared" si="103"/>
        <v>0</v>
      </c>
      <c r="AJ138" s="84">
        <f t="shared" si="103"/>
        <v>0</v>
      </c>
      <c r="AK138" s="84">
        <f t="shared" si="103"/>
        <v>0</v>
      </c>
      <c r="AL138" s="84">
        <f t="shared" si="103"/>
        <v>0</v>
      </c>
      <c r="AM138" s="84">
        <f t="shared" si="103"/>
        <v>0</v>
      </c>
      <c r="AN138" s="60"/>
      <c r="AO138" s="87">
        <f t="shared" si="80"/>
        <v>0</v>
      </c>
      <c r="AP138" s="60" t="b">
        <f t="shared" si="81"/>
        <v>1</v>
      </c>
    </row>
    <row r="139" spans="1:42" ht="12" customHeight="1" outlineLevel="1">
      <c r="A139" s="84">
        <v>23</v>
      </c>
      <c r="B139" s="60">
        <f t="shared" si="82"/>
        <v>2047</v>
      </c>
      <c r="C139" s="34">
        <v>0</v>
      </c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87">
        <f>IF(Z$26,MIN($C139,MAX($C139/$C$113,$C139/(Z$26/12))),0)</f>
        <v>0</v>
      </c>
      <c r="AA139" s="84">
        <f t="shared" ref="AA139:AM139" si="104">IF(AND(AA$24-$A139&lt;$C$113,AA$26&gt;0),Z139*(AA$25/12),0)</f>
        <v>0</v>
      </c>
      <c r="AB139" s="84">
        <f t="shared" si="104"/>
        <v>0</v>
      </c>
      <c r="AC139" s="84">
        <f t="shared" si="104"/>
        <v>0</v>
      </c>
      <c r="AD139" s="84">
        <f t="shared" si="104"/>
        <v>0</v>
      </c>
      <c r="AE139" s="84">
        <f t="shared" si="104"/>
        <v>0</v>
      </c>
      <c r="AF139" s="84">
        <f t="shared" si="104"/>
        <v>0</v>
      </c>
      <c r="AG139" s="84">
        <f t="shared" si="104"/>
        <v>0</v>
      </c>
      <c r="AH139" s="84">
        <f t="shared" si="104"/>
        <v>0</v>
      </c>
      <c r="AI139" s="84">
        <f t="shared" si="104"/>
        <v>0</v>
      </c>
      <c r="AJ139" s="84">
        <f t="shared" si="104"/>
        <v>0</v>
      </c>
      <c r="AK139" s="84">
        <f t="shared" si="104"/>
        <v>0</v>
      </c>
      <c r="AL139" s="84">
        <f t="shared" si="104"/>
        <v>0</v>
      </c>
      <c r="AM139" s="84">
        <f t="shared" si="104"/>
        <v>0</v>
      </c>
      <c r="AN139" s="60"/>
      <c r="AO139" s="87">
        <f t="shared" si="80"/>
        <v>0</v>
      </c>
      <c r="AP139" s="60" t="b">
        <f t="shared" si="81"/>
        <v>1</v>
      </c>
    </row>
    <row r="140" spans="1:42" ht="12" customHeight="1" outlineLevel="1">
      <c r="A140" s="84">
        <v>24</v>
      </c>
      <c r="B140" s="60">
        <f t="shared" si="82"/>
        <v>2048</v>
      </c>
      <c r="C140" s="34">
        <v>0</v>
      </c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87">
        <f>IF(AA$26,MIN($C140,MAX($C140/$C$113,$C140/(AA$26/12))),0)</f>
        <v>0</v>
      </c>
      <c r="AB140" s="84">
        <f t="shared" ref="AB140:AM140" si="105">IF(AND(AB$24-$A140&lt;$C$113,AB$26&gt;0),AA140*(AB$25/12),0)</f>
        <v>0</v>
      </c>
      <c r="AC140" s="84">
        <f t="shared" si="105"/>
        <v>0</v>
      </c>
      <c r="AD140" s="84">
        <f t="shared" si="105"/>
        <v>0</v>
      </c>
      <c r="AE140" s="84">
        <f t="shared" si="105"/>
        <v>0</v>
      </c>
      <c r="AF140" s="84">
        <f t="shared" si="105"/>
        <v>0</v>
      </c>
      <c r="AG140" s="84">
        <f t="shared" si="105"/>
        <v>0</v>
      </c>
      <c r="AH140" s="84">
        <f t="shared" si="105"/>
        <v>0</v>
      </c>
      <c r="AI140" s="84">
        <f t="shared" si="105"/>
        <v>0</v>
      </c>
      <c r="AJ140" s="84">
        <f t="shared" si="105"/>
        <v>0</v>
      </c>
      <c r="AK140" s="84">
        <f t="shared" si="105"/>
        <v>0</v>
      </c>
      <c r="AL140" s="84">
        <f t="shared" si="105"/>
        <v>0</v>
      </c>
      <c r="AM140" s="84">
        <f t="shared" si="105"/>
        <v>0</v>
      </c>
      <c r="AN140" s="60"/>
      <c r="AO140" s="87">
        <f t="shared" si="80"/>
        <v>0</v>
      </c>
      <c r="AP140" s="60" t="b">
        <f t="shared" si="81"/>
        <v>1</v>
      </c>
    </row>
    <row r="141" spans="1:42" ht="12" customHeight="1" outlineLevel="1">
      <c r="A141" s="84">
        <v>25</v>
      </c>
      <c r="B141" s="60">
        <f t="shared" si="82"/>
        <v>2049</v>
      </c>
      <c r="C141" s="34">
        <v>0</v>
      </c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87">
        <f>IF(AB$26,MIN($C141,MAX($C141/$C$113,$C141/(AB$26/12))),0)</f>
        <v>0</v>
      </c>
      <c r="AC141" s="84">
        <f t="shared" ref="AC141:AM141" si="106">IF(AND(AC$24-$A141&lt;$C$113,AC$26&gt;0),AB141*(AC$25/12),0)</f>
        <v>0</v>
      </c>
      <c r="AD141" s="84">
        <f t="shared" si="106"/>
        <v>0</v>
      </c>
      <c r="AE141" s="84">
        <f t="shared" si="106"/>
        <v>0</v>
      </c>
      <c r="AF141" s="84">
        <f t="shared" si="106"/>
        <v>0</v>
      </c>
      <c r="AG141" s="84">
        <f t="shared" si="106"/>
        <v>0</v>
      </c>
      <c r="AH141" s="84">
        <f t="shared" si="106"/>
        <v>0</v>
      </c>
      <c r="AI141" s="84">
        <f t="shared" si="106"/>
        <v>0</v>
      </c>
      <c r="AJ141" s="84">
        <f t="shared" si="106"/>
        <v>0</v>
      </c>
      <c r="AK141" s="84">
        <f t="shared" si="106"/>
        <v>0</v>
      </c>
      <c r="AL141" s="84">
        <f t="shared" si="106"/>
        <v>0</v>
      </c>
      <c r="AM141" s="84">
        <f t="shared" si="106"/>
        <v>0</v>
      </c>
      <c r="AN141" s="60"/>
      <c r="AO141" s="87">
        <f t="shared" si="80"/>
        <v>0</v>
      </c>
      <c r="AP141" s="60" t="b">
        <f t="shared" si="81"/>
        <v>1</v>
      </c>
    </row>
    <row r="142" spans="1:42" ht="12" customHeight="1" outlineLevel="1">
      <c r="A142" s="84">
        <v>26</v>
      </c>
      <c r="B142" s="60">
        <f t="shared" si="82"/>
        <v>2050</v>
      </c>
      <c r="C142" s="34">
        <v>0</v>
      </c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87">
        <f>IF(AC$26,MIN($C142,MAX($C142/$C$113,$C142/(AC$26/12))),0)</f>
        <v>0</v>
      </c>
      <c r="AD142" s="84">
        <f t="shared" ref="AD142:AM142" si="107">IF(AND(AD$24-$A142&lt;$C$113,AD$26&gt;0),AC142*(AD$25/12),0)</f>
        <v>0</v>
      </c>
      <c r="AE142" s="84">
        <f t="shared" si="107"/>
        <v>0</v>
      </c>
      <c r="AF142" s="84">
        <f t="shared" si="107"/>
        <v>0</v>
      </c>
      <c r="AG142" s="84">
        <f t="shared" si="107"/>
        <v>0</v>
      </c>
      <c r="AH142" s="84">
        <f t="shared" si="107"/>
        <v>0</v>
      </c>
      <c r="AI142" s="84">
        <f t="shared" si="107"/>
        <v>0</v>
      </c>
      <c r="AJ142" s="84">
        <f t="shared" si="107"/>
        <v>0</v>
      </c>
      <c r="AK142" s="84">
        <f t="shared" si="107"/>
        <v>0</v>
      </c>
      <c r="AL142" s="84">
        <f t="shared" si="107"/>
        <v>0</v>
      </c>
      <c r="AM142" s="84">
        <f t="shared" si="107"/>
        <v>0</v>
      </c>
      <c r="AN142" s="60"/>
      <c r="AO142" s="87">
        <f t="shared" si="80"/>
        <v>0</v>
      </c>
      <c r="AP142" s="60" t="b">
        <f t="shared" si="81"/>
        <v>1</v>
      </c>
    </row>
    <row r="143" spans="1:42" ht="12" customHeight="1" outlineLevel="1">
      <c r="A143" s="84">
        <v>27</v>
      </c>
      <c r="B143" s="60">
        <f t="shared" si="82"/>
        <v>2051</v>
      </c>
      <c r="C143" s="34">
        <v>0</v>
      </c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87">
        <f>IF(AD$26,MIN($C143,MAX($C143/$C$113,$C143/(AD$26/12))),0)</f>
        <v>0</v>
      </c>
      <c r="AE143" s="84">
        <f t="shared" ref="AE143:AM143" si="108">IF(AND(AE$24-$A143&lt;$C$113,AE$26&gt;0),AD143*(AE$25/12),0)</f>
        <v>0</v>
      </c>
      <c r="AF143" s="84">
        <f t="shared" si="108"/>
        <v>0</v>
      </c>
      <c r="AG143" s="84">
        <f t="shared" si="108"/>
        <v>0</v>
      </c>
      <c r="AH143" s="84">
        <f t="shared" si="108"/>
        <v>0</v>
      </c>
      <c r="AI143" s="84">
        <f t="shared" si="108"/>
        <v>0</v>
      </c>
      <c r="AJ143" s="84">
        <f t="shared" si="108"/>
        <v>0</v>
      </c>
      <c r="AK143" s="84">
        <f t="shared" si="108"/>
        <v>0</v>
      </c>
      <c r="AL143" s="84">
        <f t="shared" si="108"/>
        <v>0</v>
      </c>
      <c r="AM143" s="84">
        <f t="shared" si="108"/>
        <v>0</v>
      </c>
      <c r="AN143" s="60"/>
      <c r="AO143" s="87">
        <f t="shared" si="80"/>
        <v>0</v>
      </c>
      <c r="AP143" s="60" t="b">
        <f t="shared" si="81"/>
        <v>1</v>
      </c>
    </row>
    <row r="144" spans="1:42" ht="12" customHeight="1" outlineLevel="1">
      <c r="A144" s="84">
        <v>28</v>
      </c>
      <c r="B144" s="60">
        <f t="shared" si="82"/>
        <v>2052</v>
      </c>
      <c r="C144" s="34">
        <v>0</v>
      </c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87">
        <f>IF(AE$26,MIN($C144,MAX($C144/$C$113,$C144/(AE$26/12))),0)</f>
        <v>0</v>
      </c>
      <c r="AF144" s="84">
        <f t="shared" ref="AF144:AM144" si="109">IF(AND(AF$24-$A144&lt;$C$113,AF$26&gt;0),AE144*(AF$25/12),0)</f>
        <v>0</v>
      </c>
      <c r="AG144" s="84">
        <f t="shared" si="109"/>
        <v>0</v>
      </c>
      <c r="AH144" s="84">
        <f t="shared" si="109"/>
        <v>0</v>
      </c>
      <c r="AI144" s="84">
        <f t="shared" si="109"/>
        <v>0</v>
      </c>
      <c r="AJ144" s="84">
        <f t="shared" si="109"/>
        <v>0</v>
      </c>
      <c r="AK144" s="84">
        <f t="shared" si="109"/>
        <v>0</v>
      </c>
      <c r="AL144" s="84">
        <f t="shared" si="109"/>
        <v>0</v>
      </c>
      <c r="AM144" s="84">
        <f t="shared" si="109"/>
        <v>0</v>
      </c>
      <c r="AN144" s="60"/>
      <c r="AO144" s="87">
        <f t="shared" si="80"/>
        <v>0</v>
      </c>
      <c r="AP144" s="60" t="b">
        <f t="shared" si="81"/>
        <v>1</v>
      </c>
    </row>
    <row r="145" spans="1:42" ht="12" customHeight="1" outlineLevel="1">
      <c r="A145" s="84">
        <v>29</v>
      </c>
      <c r="B145" s="60">
        <f t="shared" si="82"/>
        <v>2053</v>
      </c>
      <c r="C145" s="34">
        <v>0</v>
      </c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87">
        <f>IF(AF$26,MIN($C145,MAX($C145/$C$113,$C145/(AF$26/12))),0)</f>
        <v>0</v>
      </c>
      <c r="AG145" s="84">
        <f t="shared" ref="AG145:AM145" si="110">IF(AND(AG$24-$A145&lt;$C$113,AG$26&gt;0),AF145*(AG$25/12),0)</f>
        <v>0</v>
      </c>
      <c r="AH145" s="84">
        <f t="shared" si="110"/>
        <v>0</v>
      </c>
      <c r="AI145" s="84">
        <f t="shared" si="110"/>
        <v>0</v>
      </c>
      <c r="AJ145" s="84">
        <f t="shared" si="110"/>
        <v>0</v>
      </c>
      <c r="AK145" s="84">
        <f t="shared" si="110"/>
        <v>0</v>
      </c>
      <c r="AL145" s="84">
        <f t="shared" si="110"/>
        <v>0</v>
      </c>
      <c r="AM145" s="84">
        <f t="shared" si="110"/>
        <v>0</v>
      </c>
      <c r="AN145" s="60"/>
      <c r="AO145" s="87">
        <f t="shared" si="80"/>
        <v>0</v>
      </c>
      <c r="AP145" s="60" t="b">
        <f t="shared" si="81"/>
        <v>1</v>
      </c>
    </row>
    <row r="146" spans="1:42" ht="12" customHeight="1" outlineLevel="1">
      <c r="A146" s="84">
        <v>30</v>
      </c>
      <c r="B146" s="60">
        <f t="shared" si="82"/>
        <v>2054</v>
      </c>
      <c r="C146" s="34">
        <v>0</v>
      </c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87">
        <f>IF(AG$26,MIN($C146,MAX($C146/$C$113,$C146/(AG$26/12))),0)</f>
        <v>0</v>
      </c>
      <c r="AH146" s="84">
        <f t="shared" ref="AH146:AM146" si="111">IF(AND(AH$24-$A146&lt;$C$113,AH$26&gt;0),AG146*(AH$25/12),0)</f>
        <v>0</v>
      </c>
      <c r="AI146" s="84">
        <f t="shared" si="111"/>
        <v>0</v>
      </c>
      <c r="AJ146" s="84">
        <f t="shared" si="111"/>
        <v>0</v>
      </c>
      <c r="AK146" s="84">
        <f t="shared" si="111"/>
        <v>0</v>
      </c>
      <c r="AL146" s="84">
        <f t="shared" si="111"/>
        <v>0</v>
      </c>
      <c r="AM146" s="84">
        <f t="shared" si="111"/>
        <v>0</v>
      </c>
      <c r="AN146" s="60"/>
      <c r="AO146" s="87">
        <f t="shared" si="80"/>
        <v>0</v>
      </c>
      <c r="AP146" s="60" t="b">
        <f t="shared" si="81"/>
        <v>1</v>
      </c>
    </row>
    <row r="147" spans="1:42" ht="12" customHeight="1" outlineLevel="1">
      <c r="A147" s="84">
        <v>31</v>
      </c>
      <c r="B147" s="60">
        <f t="shared" si="82"/>
        <v>2055</v>
      </c>
      <c r="C147" s="34">
        <v>0</v>
      </c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87">
        <f>IF(AH$26,MIN($C147,MAX($C147/$C$113,$C147/(AH$26/12))),0)</f>
        <v>0</v>
      </c>
      <c r="AI147" s="84">
        <f>IF(AND(AI$24-$A147&lt;$C$113,AI$26&gt;0),AH147*(AI$25/12),0)</f>
        <v>0</v>
      </c>
      <c r="AJ147" s="84">
        <f>IF(AND(AJ$24-$A147&lt;$C$113,AJ$26&gt;0),AI147*(AJ$25/12),0)</f>
        <v>0</v>
      </c>
      <c r="AK147" s="84">
        <f>IF(AND(AK$24-$A147&lt;$C$113,AK$26&gt;0),AJ147*(AK$25/12),0)</f>
        <v>0</v>
      </c>
      <c r="AL147" s="84">
        <f>IF(AND(AL$24-$A147&lt;$C$113,AL$26&gt;0),AK147*(AL$25/12),0)</f>
        <v>0</v>
      </c>
      <c r="AM147" s="84">
        <f>IF(AND(AM$24-$A147&lt;$C$113,AM$26&gt;0),AL147*(AM$25/12),0)</f>
        <v>0</v>
      </c>
      <c r="AN147" s="60"/>
      <c r="AO147" s="87">
        <f t="shared" si="80"/>
        <v>0</v>
      </c>
      <c r="AP147" s="60" t="b">
        <f t="shared" si="81"/>
        <v>1</v>
      </c>
    </row>
    <row r="148" spans="1:42" ht="12" customHeight="1" outlineLevel="1">
      <c r="A148" s="84">
        <v>32</v>
      </c>
      <c r="B148" s="60">
        <f t="shared" si="82"/>
        <v>2056</v>
      </c>
      <c r="C148" s="34">
        <v>0</v>
      </c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87">
        <f>IF(AI$26,MIN($C148,MAX($C148/$C$113,$C148/(AI$26/12))),0)</f>
        <v>0</v>
      </c>
      <c r="AJ148" s="84">
        <f>IF(AND(AJ$24-$A148&lt;$C$113,AJ$26&gt;0),AI148*(AJ$25/12),0)</f>
        <v>0</v>
      </c>
      <c r="AK148" s="84">
        <f>IF(AND(AK$24-$A148&lt;$C$113,AK$26&gt;0),AJ148*(AK$25/12),0)</f>
        <v>0</v>
      </c>
      <c r="AL148" s="84">
        <f>IF(AND(AL$24-$A148&lt;$C$113,AL$26&gt;0),AK148*(AL$25/12),0)</f>
        <v>0</v>
      </c>
      <c r="AM148" s="84">
        <f>IF(AND(AM$24-$A148&lt;$C$113,AM$26&gt;0),AL148*(AM$25/12),0)</f>
        <v>0</v>
      </c>
      <c r="AN148" s="60"/>
      <c r="AO148" s="87">
        <f t="shared" si="80"/>
        <v>0</v>
      </c>
      <c r="AP148" s="60" t="b">
        <f t="shared" si="81"/>
        <v>1</v>
      </c>
    </row>
    <row r="149" spans="1:42" ht="12" customHeight="1" outlineLevel="1">
      <c r="A149" s="84">
        <v>33</v>
      </c>
      <c r="B149" s="60">
        <f t="shared" si="82"/>
        <v>2057</v>
      </c>
      <c r="C149" s="34">
        <v>0</v>
      </c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87">
        <f>IF(AJ$26,MIN($C149,MAX($C149/$C$113,$C149/(AJ$26/12))),0)</f>
        <v>0</v>
      </c>
      <c r="AK149" s="84">
        <f>IF(AND(AK$24-$A149&lt;$C$113,AK$26&gt;0),AJ149*(AK$25/12),0)</f>
        <v>0</v>
      </c>
      <c r="AL149" s="84">
        <f>IF(AND(AL$24-$A149&lt;$C$113,AL$26&gt;0),AK149*(AL$25/12),0)</f>
        <v>0</v>
      </c>
      <c r="AM149" s="84">
        <f>IF(AND(AM$24-$A149&lt;$C$113,AM$26&gt;0),AL149*(AM$25/12),0)</f>
        <v>0</v>
      </c>
      <c r="AN149" s="60"/>
      <c r="AO149" s="87">
        <f t="shared" si="80"/>
        <v>0</v>
      </c>
      <c r="AP149" s="60" t="b">
        <f t="shared" si="81"/>
        <v>1</v>
      </c>
    </row>
    <row r="150" spans="1:42" ht="12" customHeight="1" outlineLevel="1">
      <c r="A150" s="84">
        <v>34</v>
      </c>
      <c r="B150" s="60">
        <f t="shared" si="82"/>
        <v>2058</v>
      </c>
      <c r="C150" s="34">
        <v>0</v>
      </c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87">
        <f>IF(AK$26,MIN($C150,MAX($C150/$C$113,$C150/(AK$26/12))),0)</f>
        <v>0</v>
      </c>
      <c r="AL150" s="84">
        <f>IF(AND(AL$24-$A150&lt;$C$113,AL$26&gt;0),AK150*(AL$25/12),0)</f>
        <v>0</v>
      </c>
      <c r="AM150" s="84">
        <f>IF(AND(AM$24-$A150&lt;$C$113,AM$26&gt;0),AL150*(AM$25/12),0)</f>
        <v>0</v>
      </c>
      <c r="AN150" s="60"/>
      <c r="AO150" s="87">
        <f t="shared" si="80"/>
        <v>0</v>
      </c>
      <c r="AP150" s="60" t="b">
        <f t="shared" si="81"/>
        <v>1</v>
      </c>
    </row>
    <row r="151" spans="1:42" ht="12" customHeight="1" outlineLevel="1">
      <c r="A151" s="84">
        <v>35</v>
      </c>
      <c r="B151" s="60">
        <f t="shared" si="82"/>
        <v>2059</v>
      </c>
      <c r="C151" s="34">
        <v>0</v>
      </c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87">
        <f>IF(AL$26,MIN($C151,MAX($C151/$C$113,$C151/(AL$26/12))),0)</f>
        <v>0</v>
      </c>
      <c r="AM151" s="84">
        <f>IF(AND(AM$24-$A151&lt;$C$113,AM$26&gt;0),AL151*(AM$25/12),0)</f>
        <v>0</v>
      </c>
      <c r="AN151" s="60"/>
      <c r="AO151" s="87">
        <f t="shared" si="80"/>
        <v>0</v>
      </c>
      <c r="AP151" s="60" t="b">
        <f t="shared" si="81"/>
        <v>1</v>
      </c>
    </row>
    <row r="152" spans="1:42" ht="12" customHeight="1" outlineLevel="1">
      <c r="A152" s="128">
        <v>36</v>
      </c>
      <c r="B152" s="129">
        <f t="shared" si="82"/>
        <v>2060</v>
      </c>
      <c r="C152" s="130">
        <v>0</v>
      </c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31"/>
      <c r="AM152" s="131">
        <f>IF(AM$26,MIN($C152,MAX($C152/$C$113,$C152/(AM$26/12))),0)</f>
        <v>0</v>
      </c>
      <c r="AN152" s="60"/>
      <c r="AO152" s="131">
        <f t="shared" si="80"/>
        <v>0</v>
      </c>
      <c r="AP152" s="129" t="b">
        <f t="shared" si="81"/>
        <v>1</v>
      </c>
    </row>
    <row r="153" spans="1:42" ht="12" customHeight="1">
      <c r="A153" s="84"/>
      <c r="B153" s="60"/>
      <c r="C153" s="132">
        <f>SUM(C117:C151)</f>
        <v>0</v>
      </c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87">
        <f>SUM(AO117:AO152)</f>
        <v>0</v>
      </c>
      <c r="AP153" s="60" t="b">
        <f t="shared" si="81"/>
        <v>1</v>
      </c>
    </row>
    <row r="154" spans="1:42" ht="12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</row>
    <row r="155" spans="1:42" ht="12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</row>
    <row r="156" spans="1:42" ht="12" customHeight="1">
      <c r="A156" s="60"/>
      <c r="B156" s="60"/>
      <c r="C156" s="121" t="s">
        <v>458</v>
      </c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</row>
    <row r="157" spans="1:42" ht="12" customHeight="1">
      <c r="A157" s="60"/>
      <c r="B157" s="60"/>
      <c r="C157" s="122">
        <v>20</v>
      </c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</row>
    <row r="158" spans="1:42" ht="12" customHeight="1">
      <c r="A158" s="60"/>
      <c r="B158" s="60"/>
      <c r="C158" s="121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</row>
    <row r="159" spans="1:42" ht="12" customHeight="1">
      <c r="A159" s="123"/>
      <c r="B159" s="124" t="s">
        <v>459</v>
      </c>
      <c r="C159" s="125"/>
      <c r="D159" s="119">
        <f>SUMIF(CAPEX!$B$12:$B$16,Amt!$C$157,CAPEX!E$12:E$16)</f>
        <v>0</v>
      </c>
      <c r="E159" s="119">
        <f>SUMIF(CAPEX!$B$12:$B$16,Amt!$C$157,CAPEX!F$12:F$16)</f>
        <v>0</v>
      </c>
      <c r="F159" s="119">
        <f>SUMIF(CAPEX!$B$12:$B$16,Amt!$C$157,CAPEX!G$12:G$16)</f>
        <v>0</v>
      </c>
      <c r="G159" s="119">
        <f>SUMIF(CAPEX!$B$12:$B$16,Amt!$C$157,CAPEX!H$12:H$16)</f>
        <v>0</v>
      </c>
      <c r="H159" s="119">
        <f>SUMIF(CAPEX!$B$12:$B$16,Amt!$C$157,CAPEX!I$12:I$16)</f>
        <v>0</v>
      </c>
      <c r="I159" s="119">
        <f>SUMIF(CAPEX!$B$12:$B$16,Amt!$C$157,CAPEX!J$12:J$16)</f>
        <v>0</v>
      </c>
      <c r="J159" s="119">
        <f>SUMIF(CAPEX!$B$12:$B$16,Amt!$C$157,CAPEX!K$12:K$16)</f>
        <v>0</v>
      </c>
      <c r="K159" s="119">
        <f>SUMIF(CAPEX!$B$12:$B$16,Amt!$C$157,CAPEX!L$12:L$16)</f>
        <v>0</v>
      </c>
      <c r="L159" s="119">
        <f>SUMIF(CAPEX!$B$12:$B$16,Amt!$C$157,CAPEX!M$12:M$16)</f>
        <v>0</v>
      </c>
      <c r="M159" s="119">
        <f>SUMIF(CAPEX!$B$12:$B$16,Amt!$C$157,CAPEX!N$12:N$16)</f>
        <v>0</v>
      </c>
      <c r="N159" s="119">
        <f>SUMIF(CAPEX!$B$12:$B$16,Amt!$C$157,CAPEX!O$12:O$16)</f>
        <v>0</v>
      </c>
      <c r="O159" s="119">
        <f>SUMIF(CAPEX!$B$12:$B$16,Amt!$C$157,CAPEX!P$12:P$16)</f>
        <v>0</v>
      </c>
      <c r="P159" s="119">
        <f>SUMIF(CAPEX!$B$12:$B$16,Amt!$C$157,CAPEX!Q$12:Q$16)</f>
        <v>0</v>
      </c>
      <c r="Q159" s="119">
        <f>SUMIF(CAPEX!$B$12:$B$16,Amt!$C$157,CAPEX!R$12:R$16)</f>
        <v>0</v>
      </c>
      <c r="R159" s="119">
        <f>SUMIF(CAPEX!$B$12:$B$16,Amt!$C$157,CAPEX!S$12:S$16)</f>
        <v>0</v>
      </c>
      <c r="S159" s="119">
        <f>SUMIF(CAPEX!$B$12:$B$16,Amt!$C$157,CAPEX!T$12:T$16)</f>
        <v>0</v>
      </c>
      <c r="T159" s="119">
        <f>SUMIF(CAPEX!$B$12:$B$16,Amt!$C$157,CAPEX!U$12:U$16)</f>
        <v>0</v>
      </c>
      <c r="U159" s="119">
        <f>SUMIF(CAPEX!$B$12:$B$16,Amt!$C$157,CAPEX!V$12:V$16)</f>
        <v>0</v>
      </c>
      <c r="V159" s="119">
        <f>SUMIF(CAPEX!$B$12:$B$16,Amt!$C$157,CAPEX!W$12:W$16)</f>
        <v>0</v>
      </c>
      <c r="W159" s="119">
        <f>SUMIF(CAPEX!$B$12:$B$16,Amt!$C$157,CAPEX!X$12:X$16)</f>
        <v>0</v>
      </c>
      <c r="X159" s="119">
        <f>SUMIF(CAPEX!$B$12:$B$16,Amt!$C$157,CAPEX!Y$12:Y$16)</f>
        <v>0</v>
      </c>
      <c r="Y159" s="119">
        <f>SUMIF(CAPEX!$B$12:$B$16,Amt!$C$157,CAPEX!Z$12:Z$16)</f>
        <v>0</v>
      </c>
      <c r="Z159" s="119">
        <f>SUMIF(CAPEX!$B$12:$B$16,Amt!$C$157,CAPEX!AA$12:AA$16)</f>
        <v>0</v>
      </c>
      <c r="AA159" s="119">
        <f>SUMIF(CAPEX!$B$12:$B$16,Amt!$C$157,CAPEX!AB$12:AB$16)</f>
        <v>0</v>
      </c>
      <c r="AB159" s="119">
        <f>SUMIF(CAPEX!$B$12:$B$16,Amt!$C$157,CAPEX!AC$12:AC$16)</f>
        <v>0</v>
      </c>
      <c r="AC159" s="119">
        <f>SUMIF(CAPEX!$B$12:$B$16,Amt!$C$157,CAPEX!AD$12:AD$16)</f>
        <v>0</v>
      </c>
      <c r="AD159" s="119">
        <f>SUMIF(CAPEX!$B$12:$B$16,Amt!$C$157,CAPEX!AE$12:AE$16)</f>
        <v>0</v>
      </c>
      <c r="AE159" s="119">
        <f>SUMIF(CAPEX!$B$12:$B$16,Amt!$C$157,CAPEX!AF$12:AF$16)</f>
        <v>0</v>
      </c>
      <c r="AF159" s="119">
        <f>SUMIF(CAPEX!$B$12:$B$16,Amt!$C$157,CAPEX!AG$12:AG$16)</f>
        <v>0</v>
      </c>
      <c r="AG159" s="119">
        <f>SUMIF(CAPEX!$B$12:$B$16,Amt!$C$157,CAPEX!AH$12:AH$16)</f>
        <v>0</v>
      </c>
      <c r="AH159" s="119">
        <f>SUMIF(CAPEX!$B$12:$B$16,Amt!$C$157,CAPEX!AI$12:AI$16)</f>
        <v>0</v>
      </c>
      <c r="AI159" s="119">
        <f>SUMIF(CAPEX!$B$12:$B$16,Amt!$C$157,CAPEX!AJ$12:AJ$16)</f>
        <v>0</v>
      </c>
      <c r="AJ159" s="119">
        <f>SUMIF(CAPEX!$B$12:$B$16,Amt!$C$157,CAPEX!AK$12:AK$16)</f>
        <v>0</v>
      </c>
      <c r="AK159" s="119">
        <f>SUMIF(CAPEX!$B$12:$B$16,Amt!$C$157,CAPEX!AL$12:AL$16)</f>
        <v>0</v>
      </c>
      <c r="AL159" s="119">
        <f>SUMIF(CAPEX!$B$12:$B$16,Amt!$C$157,CAPEX!AM$12:AM$16)</f>
        <v>0</v>
      </c>
      <c r="AM159" s="119">
        <f>SUMIF(CAPEX!$B$12:$B$16,Amt!$C$157,CAPEX!AN$12:AN$16)</f>
        <v>0</v>
      </c>
      <c r="AN159" s="60"/>
      <c r="AO159" s="60"/>
      <c r="AP159" s="60"/>
    </row>
    <row r="160" spans="1:42" ht="12" customHeight="1">
      <c r="A160" s="60"/>
      <c r="B160" s="124" t="s">
        <v>124</v>
      </c>
      <c r="C160" s="125"/>
      <c r="D160" s="119">
        <f t="shared" ref="D160:AM160" si="112">SUM(D161:D195)</f>
        <v>0</v>
      </c>
      <c r="E160" s="119">
        <f t="shared" si="112"/>
        <v>0</v>
      </c>
      <c r="F160" s="119">
        <f t="shared" si="112"/>
        <v>0</v>
      </c>
      <c r="G160" s="119">
        <f t="shared" si="112"/>
        <v>0</v>
      </c>
      <c r="H160" s="119">
        <f t="shared" si="112"/>
        <v>0</v>
      </c>
      <c r="I160" s="119">
        <f t="shared" si="112"/>
        <v>0</v>
      </c>
      <c r="J160" s="119">
        <f t="shared" si="112"/>
        <v>0</v>
      </c>
      <c r="K160" s="119">
        <f t="shared" si="112"/>
        <v>0</v>
      </c>
      <c r="L160" s="119">
        <f t="shared" si="112"/>
        <v>0</v>
      </c>
      <c r="M160" s="119">
        <f t="shared" si="112"/>
        <v>0</v>
      </c>
      <c r="N160" s="119">
        <f t="shared" si="112"/>
        <v>0</v>
      </c>
      <c r="O160" s="119">
        <f t="shared" si="112"/>
        <v>0</v>
      </c>
      <c r="P160" s="119">
        <f t="shared" si="112"/>
        <v>0</v>
      </c>
      <c r="Q160" s="119">
        <f t="shared" si="112"/>
        <v>0</v>
      </c>
      <c r="R160" s="119">
        <f t="shared" si="112"/>
        <v>0</v>
      </c>
      <c r="S160" s="119">
        <f t="shared" si="112"/>
        <v>0</v>
      </c>
      <c r="T160" s="119">
        <f t="shared" si="112"/>
        <v>0</v>
      </c>
      <c r="U160" s="119">
        <f t="shared" si="112"/>
        <v>0</v>
      </c>
      <c r="V160" s="119">
        <f t="shared" si="112"/>
        <v>0</v>
      </c>
      <c r="W160" s="119">
        <f t="shared" si="112"/>
        <v>0</v>
      </c>
      <c r="X160" s="119">
        <f t="shared" si="112"/>
        <v>0</v>
      </c>
      <c r="Y160" s="119">
        <f t="shared" si="112"/>
        <v>0</v>
      </c>
      <c r="Z160" s="119">
        <f t="shared" si="112"/>
        <v>0</v>
      </c>
      <c r="AA160" s="119">
        <f t="shared" si="112"/>
        <v>0</v>
      </c>
      <c r="AB160" s="119">
        <f t="shared" si="112"/>
        <v>0</v>
      </c>
      <c r="AC160" s="119">
        <f t="shared" si="112"/>
        <v>0</v>
      </c>
      <c r="AD160" s="119">
        <f t="shared" si="112"/>
        <v>0</v>
      </c>
      <c r="AE160" s="119">
        <f t="shared" si="112"/>
        <v>0</v>
      </c>
      <c r="AF160" s="119">
        <f t="shared" si="112"/>
        <v>0</v>
      </c>
      <c r="AG160" s="119">
        <f t="shared" si="112"/>
        <v>0</v>
      </c>
      <c r="AH160" s="119">
        <f t="shared" si="112"/>
        <v>0</v>
      </c>
      <c r="AI160" s="119">
        <f t="shared" si="112"/>
        <v>0</v>
      </c>
      <c r="AJ160" s="119">
        <f t="shared" si="112"/>
        <v>0</v>
      </c>
      <c r="AK160" s="119">
        <f t="shared" si="112"/>
        <v>0</v>
      </c>
      <c r="AL160" s="119">
        <f t="shared" si="112"/>
        <v>0</v>
      </c>
      <c r="AM160" s="119">
        <f t="shared" si="112"/>
        <v>0</v>
      </c>
      <c r="AN160" s="60"/>
      <c r="AO160" s="60"/>
      <c r="AP160" s="60"/>
    </row>
    <row r="161" spans="1:42" ht="12" customHeight="1" outlineLevel="1">
      <c r="A161" s="84">
        <v>1</v>
      </c>
      <c r="B161" s="60">
        <f>$D$1</f>
        <v>2025</v>
      </c>
      <c r="C161" s="34">
        <f t="array" ref="C161:C196">TRANSPOSE(D159:AM159)</f>
        <v>0</v>
      </c>
      <c r="D161" s="87">
        <f>IF(D$26,MIN($C161,MAX($C161/$C$157,$C161/(D$26/12))),0)</f>
        <v>0</v>
      </c>
      <c r="E161" s="84">
        <f t="shared" ref="E161:AM161" si="113">IF(AND(E$24-$A161&lt;$C$157,E$26&gt;0),D161*(E$25/12),0)</f>
        <v>0</v>
      </c>
      <c r="F161" s="84">
        <f t="shared" si="113"/>
        <v>0</v>
      </c>
      <c r="G161" s="84">
        <f t="shared" si="113"/>
        <v>0</v>
      </c>
      <c r="H161" s="84">
        <f t="shared" si="113"/>
        <v>0</v>
      </c>
      <c r="I161" s="84">
        <f t="shared" si="113"/>
        <v>0</v>
      </c>
      <c r="J161" s="84">
        <f t="shared" si="113"/>
        <v>0</v>
      </c>
      <c r="K161" s="84">
        <f t="shared" si="113"/>
        <v>0</v>
      </c>
      <c r="L161" s="84">
        <f t="shared" si="113"/>
        <v>0</v>
      </c>
      <c r="M161" s="84">
        <f t="shared" si="113"/>
        <v>0</v>
      </c>
      <c r="N161" s="84">
        <f t="shared" si="113"/>
        <v>0</v>
      </c>
      <c r="O161" s="84">
        <f t="shared" si="113"/>
        <v>0</v>
      </c>
      <c r="P161" s="84">
        <f t="shared" si="113"/>
        <v>0</v>
      </c>
      <c r="Q161" s="84">
        <f t="shared" si="113"/>
        <v>0</v>
      </c>
      <c r="R161" s="84">
        <f t="shared" si="113"/>
        <v>0</v>
      </c>
      <c r="S161" s="84">
        <f t="shared" si="113"/>
        <v>0</v>
      </c>
      <c r="T161" s="84">
        <f t="shared" si="113"/>
        <v>0</v>
      </c>
      <c r="U161" s="84">
        <f t="shared" si="113"/>
        <v>0</v>
      </c>
      <c r="V161" s="84">
        <f t="shared" si="113"/>
        <v>0</v>
      </c>
      <c r="W161" s="84">
        <f t="shared" si="113"/>
        <v>0</v>
      </c>
      <c r="X161" s="84">
        <f t="shared" si="113"/>
        <v>0</v>
      </c>
      <c r="Y161" s="84">
        <f t="shared" si="113"/>
        <v>0</v>
      </c>
      <c r="Z161" s="84">
        <f t="shared" si="113"/>
        <v>0</v>
      </c>
      <c r="AA161" s="84">
        <f t="shared" si="113"/>
        <v>0</v>
      </c>
      <c r="AB161" s="84">
        <f t="shared" si="113"/>
        <v>0</v>
      </c>
      <c r="AC161" s="84">
        <f t="shared" si="113"/>
        <v>0</v>
      </c>
      <c r="AD161" s="84">
        <f t="shared" si="113"/>
        <v>0</v>
      </c>
      <c r="AE161" s="84">
        <f t="shared" si="113"/>
        <v>0</v>
      </c>
      <c r="AF161" s="84">
        <f t="shared" si="113"/>
        <v>0</v>
      </c>
      <c r="AG161" s="84">
        <f t="shared" si="113"/>
        <v>0</v>
      </c>
      <c r="AH161" s="84">
        <f t="shared" si="113"/>
        <v>0</v>
      </c>
      <c r="AI161" s="84">
        <f t="shared" si="113"/>
        <v>0</v>
      </c>
      <c r="AJ161" s="84">
        <f t="shared" si="113"/>
        <v>0</v>
      </c>
      <c r="AK161" s="84">
        <f t="shared" si="113"/>
        <v>0</v>
      </c>
      <c r="AL161" s="84">
        <f t="shared" si="113"/>
        <v>0</v>
      </c>
      <c r="AM161" s="84">
        <f t="shared" si="113"/>
        <v>0</v>
      </c>
      <c r="AN161" s="60"/>
      <c r="AO161" s="126">
        <f t="shared" ref="AO161:AO196" si="114">SUM(D161:AM161)</f>
        <v>0</v>
      </c>
      <c r="AP161" s="127" t="b">
        <f t="shared" ref="AP161:AP197" si="115">AO161=C161</f>
        <v>1</v>
      </c>
    </row>
    <row r="162" spans="1:42" ht="12" customHeight="1" outlineLevel="1">
      <c r="A162" s="84">
        <v>2</v>
      </c>
      <c r="B162" s="60">
        <f t="shared" ref="B162:B196" si="116">B161+1</f>
        <v>2026</v>
      </c>
      <c r="C162" s="34">
        <v>0</v>
      </c>
      <c r="D162" s="60"/>
      <c r="E162" s="87">
        <f>IF(E$26,MIN($C162,MAX($C162/$C$157,$C162/(E$26/12))),0)</f>
        <v>0</v>
      </c>
      <c r="F162" s="84">
        <f t="shared" ref="F162:AM162" si="117">IF(AND(F$24-$A162&lt;$C$157,F$26&gt;0),E162*(F$25/12),0)</f>
        <v>0</v>
      </c>
      <c r="G162" s="84">
        <f t="shared" si="117"/>
        <v>0</v>
      </c>
      <c r="H162" s="84">
        <f t="shared" si="117"/>
        <v>0</v>
      </c>
      <c r="I162" s="84">
        <f t="shared" si="117"/>
        <v>0</v>
      </c>
      <c r="J162" s="84">
        <f t="shared" si="117"/>
        <v>0</v>
      </c>
      <c r="K162" s="84">
        <f t="shared" si="117"/>
        <v>0</v>
      </c>
      <c r="L162" s="84">
        <f t="shared" si="117"/>
        <v>0</v>
      </c>
      <c r="M162" s="84">
        <f t="shared" si="117"/>
        <v>0</v>
      </c>
      <c r="N162" s="84">
        <f t="shared" si="117"/>
        <v>0</v>
      </c>
      <c r="O162" s="84">
        <f t="shared" si="117"/>
        <v>0</v>
      </c>
      <c r="P162" s="84">
        <f t="shared" si="117"/>
        <v>0</v>
      </c>
      <c r="Q162" s="84">
        <f t="shared" si="117"/>
        <v>0</v>
      </c>
      <c r="R162" s="84">
        <f t="shared" si="117"/>
        <v>0</v>
      </c>
      <c r="S162" s="84">
        <f t="shared" si="117"/>
        <v>0</v>
      </c>
      <c r="T162" s="84">
        <f t="shared" si="117"/>
        <v>0</v>
      </c>
      <c r="U162" s="84">
        <f t="shared" si="117"/>
        <v>0</v>
      </c>
      <c r="V162" s="84">
        <f t="shared" si="117"/>
        <v>0</v>
      </c>
      <c r="W162" s="84">
        <f t="shared" si="117"/>
        <v>0</v>
      </c>
      <c r="X162" s="84">
        <f t="shared" si="117"/>
        <v>0</v>
      </c>
      <c r="Y162" s="84">
        <f t="shared" si="117"/>
        <v>0</v>
      </c>
      <c r="Z162" s="84">
        <f t="shared" si="117"/>
        <v>0</v>
      </c>
      <c r="AA162" s="84">
        <f t="shared" si="117"/>
        <v>0</v>
      </c>
      <c r="AB162" s="84">
        <f t="shared" si="117"/>
        <v>0</v>
      </c>
      <c r="AC162" s="84">
        <f t="shared" si="117"/>
        <v>0</v>
      </c>
      <c r="AD162" s="84">
        <f t="shared" si="117"/>
        <v>0</v>
      </c>
      <c r="AE162" s="84">
        <f t="shared" si="117"/>
        <v>0</v>
      </c>
      <c r="AF162" s="84">
        <f t="shared" si="117"/>
        <v>0</v>
      </c>
      <c r="AG162" s="84">
        <f t="shared" si="117"/>
        <v>0</v>
      </c>
      <c r="AH162" s="84">
        <f t="shared" si="117"/>
        <v>0</v>
      </c>
      <c r="AI162" s="84">
        <f t="shared" si="117"/>
        <v>0</v>
      </c>
      <c r="AJ162" s="84">
        <f t="shared" si="117"/>
        <v>0</v>
      </c>
      <c r="AK162" s="84">
        <f t="shared" si="117"/>
        <v>0</v>
      </c>
      <c r="AL162" s="84">
        <f t="shared" si="117"/>
        <v>0</v>
      </c>
      <c r="AM162" s="84">
        <f t="shared" si="117"/>
        <v>0</v>
      </c>
      <c r="AN162" s="60"/>
      <c r="AO162" s="87">
        <f t="shared" si="114"/>
        <v>0</v>
      </c>
      <c r="AP162" s="60" t="b">
        <f t="shared" si="115"/>
        <v>1</v>
      </c>
    </row>
    <row r="163" spans="1:42" ht="12" customHeight="1" outlineLevel="1">
      <c r="A163" s="84">
        <v>3</v>
      </c>
      <c r="B163" s="60">
        <f t="shared" si="116"/>
        <v>2027</v>
      </c>
      <c r="C163" s="34">
        <v>0</v>
      </c>
      <c r="D163" s="60"/>
      <c r="E163" s="60"/>
      <c r="F163" s="87">
        <f>IF(F$26,MIN($C163,MAX($C163/$C$157,$C163/(F$26/12))),0)</f>
        <v>0</v>
      </c>
      <c r="G163" s="84">
        <f t="shared" ref="G163:AM163" si="118">IF(AND(G$24-$A163&lt;$C$157,G$26&gt;0),F163*(G$25/12),0)</f>
        <v>0</v>
      </c>
      <c r="H163" s="84">
        <f t="shared" si="118"/>
        <v>0</v>
      </c>
      <c r="I163" s="84">
        <f t="shared" si="118"/>
        <v>0</v>
      </c>
      <c r="J163" s="84">
        <f t="shared" si="118"/>
        <v>0</v>
      </c>
      <c r="K163" s="84">
        <f t="shared" si="118"/>
        <v>0</v>
      </c>
      <c r="L163" s="84">
        <f t="shared" si="118"/>
        <v>0</v>
      </c>
      <c r="M163" s="84">
        <f t="shared" si="118"/>
        <v>0</v>
      </c>
      <c r="N163" s="84">
        <f t="shared" si="118"/>
        <v>0</v>
      </c>
      <c r="O163" s="84">
        <f t="shared" si="118"/>
        <v>0</v>
      </c>
      <c r="P163" s="84">
        <f t="shared" si="118"/>
        <v>0</v>
      </c>
      <c r="Q163" s="84">
        <f t="shared" si="118"/>
        <v>0</v>
      </c>
      <c r="R163" s="84">
        <f t="shared" si="118"/>
        <v>0</v>
      </c>
      <c r="S163" s="84">
        <f t="shared" si="118"/>
        <v>0</v>
      </c>
      <c r="T163" s="84">
        <f t="shared" si="118"/>
        <v>0</v>
      </c>
      <c r="U163" s="84">
        <f t="shared" si="118"/>
        <v>0</v>
      </c>
      <c r="V163" s="84">
        <f t="shared" si="118"/>
        <v>0</v>
      </c>
      <c r="W163" s="84">
        <f t="shared" si="118"/>
        <v>0</v>
      </c>
      <c r="X163" s="84">
        <f t="shared" si="118"/>
        <v>0</v>
      </c>
      <c r="Y163" s="84">
        <f t="shared" si="118"/>
        <v>0</v>
      </c>
      <c r="Z163" s="84">
        <f t="shared" si="118"/>
        <v>0</v>
      </c>
      <c r="AA163" s="84">
        <f t="shared" si="118"/>
        <v>0</v>
      </c>
      <c r="AB163" s="84">
        <f t="shared" si="118"/>
        <v>0</v>
      </c>
      <c r="AC163" s="84">
        <f t="shared" si="118"/>
        <v>0</v>
      </c>
      <c r="AD163" s="84">
        <f t="shared" si="118"/>
        <v>0</v>
      </c>
      <c r="AE163" s="84">
        <f t="shared" si="118"/>
        <v>0</v>
      </c>
      <c r="AF163" s="84">
        <f t="shared" si="118"/>
        <v>0</v>
      </c>
      <c r="AG163" s="84">
        <f t="shared" si="118"/>
        <v>0</v>
      </c>
      <c r="AH163" s="84">
        <f t="shared" si="118"/>
        <v>0</v>
      </c>
      <c r="AI163" s="84">
        <f t="shared" si="118"/>
        <v>0</v>
      </c>
      <c r="AJ163" s="84">
        <f t="shared" si="118"/>
        <v>0</v>
      </c>
      <c r="AK163" s="84">
        <f t="shared" si="118"/>
        <v>0</v>
      </c>
      <c r="AL163" s="84">
        <f t="shared" si="118"/>
        <v>0</v>
      </c>
      <c r="AM163" s="84">
        <f t="shared" si="118"/>
        <v>0</v>
      </c>
      <c r="AN163" s="60"/>
      <c r="AO163" s="87">
        <f t="shared" si="114"/>
        <v>0</v>
      </c>
      <c r="AP163" s="60" t="b">
        <f t="shared" si="115"/>
        <v>1</v>
      </c>
    </row>
    <row r="164" spans="1:42" ht="12" customHeight="1" outlineLevel="1">
      <c r="A164" s="84">
        <v>4</v>
      </c>
      <c r="B164" s="60">
        <f t="shared" si="116"/>
        <v>2028</v>
      </c>
      <c r="C164" s="34">
        <v>0</v>
      </c>
      <c r="D164" s="60"/>
      <c r="E164" s="60"/>
      <c r="F164" s="60"/>
      <c r="G164" s="87">
        <f>IF(G$26,MIN($C164,MAX($C164/$C$157,$C164/(G$26/12))),0)</f>
        <v>0</v>
      </c>
      <c r="H164" s="84">
        <f t="shared" ref="H164:AM164" si="119">IF(AND(H$24-$A164&lt;$C$157,H$26&gt;0),G164*(H$25/12),0)</f>
        <v>0</v>
      </c>
      <c r="I164" s="84">
        <f t="shared" si="119"/>
        <v>0</v>
      </c>
      <c r="J164" s="84">
        <f t="shared" si="119"/>
        <v>0</v>
      </c>
      <c r="K164" s="84">
        <f t="shared" si="119"/>
        <v>0</v>
      </c>
      <c r="L164" s="84">
        <f t="shared" si="119"/>
        <v>0</v>
      </c>
      <c r="M164" s="84">
        <f t="shared" si="119"/>
        <v>0</v>
      </c>
      <c r="N164" s="84">
        <f t="shared" si="119"/>
        <v>0</v>
      </c>
      <c r="O164" s="84">
        <f t="shared" si="119"/>
        <v>0</v>
      </c>
      <c r="P164" s="84">
        <f t="shared" si="119"/>
        <v>0</v>
      </c>
      <c r="Q164" s="84">
        <f t="shared" si="119"/>
        <v>0</v>
      </c>
      <c r="R164" s="84">
        <f t="shared" si="119"/>
        <v>0</v>
      </c>
      <c r="S164" s="84">
        <f t="shared" si="119"/>
        <v>0</v>
      </c>
      <c r="T164" s="84">
        <f t="shared" si="119"/>
        <v>0</v>
      </c>
      <c r="U164" s="84">
        <f t="shared" si="119"/>
        <v>0</v>
      </c>
      <c r="V164" s="84">
        <f t="shared" si="119"/>
        <v>0</v>
      </c>
      <c r="W164" s="84">
        <f t="shared" si="119"/>
        <v>0</v>
      </c>
      <c r="X164" s="84">
        <f t="shared" si="119"/>
        <v>0</v>
      </c>
      <c r="Y164" s="84">
        <f t="shared" si="119"/>
        <v>0</v>
      </c>
      <c r="Z164" s="84">
        <f t="shared" si="119"/>
        <v>0</v>
      </c>
      <c r="AA164" s="84">
        <f t="shared" si="119"/>
        <v>0</v>
      </c>
      <c r="AB164" s="84">
        <f t="shared" si="119"/>
        <v>0</v>
      </c>
      <c r="AC164" s="84">
        <f t="shared" si="119"/>
        <v>0</v>
      </c>
      <c r="AD164" s="84">
        <f t="shared" si="119"/>
        <v>0</v>
      </c>
      <c r="AE164" s="84">
        <f t="shared" si="119"/>
        <v>0</v>
      </c>
      <c r="AF164" s="84">
        <f t="shared" si="119"/>
        <v>0</v>
      </c>
      <c r="AG164" s="84">
        <f t="shared" si="119"/>
        <v>0</v>
      </c>
      <c r="AH164" s="84">
        <f t="shared" si="119"/>
        <v>0</v>
      </c>
      <c r="AI164" s="84">
        <f t="shared" si="119"/>
        <v>0</v>
      </c>
      <c r="AJ164" s="84">
        <f t="shared" si="119"/>
        <v>0</v>
      </c>
      <c r="AK164" s="84">
        <f t="shared" si="119"/>
        <v>0</v>
      </c>
      <c r="AL164" s="84">
        <f t="shared" si="119"/>
        <v>0</v>
      </c>
      <c r="AM164" s="84">
        <f t="shared" si="119"/>
        <v>0</v>
      </c>
      <c r="AN164" s="60"/>
      <c r="AO164" s="87">
        <f t="shared" si="114"/>
        <v>0</v>
      </c>
      <c r="AP164" s="60" t="b">
        <f t="shared" si="115"/>
        <v>1</v>
      </c>
    </row>
    <row r="165" spans="1:42" ht="12" customHeight="1" outlineLevel="1">
      <c r="A165" s="84">
        <v>5</v>
      </c>
      <c r="B165" s="60">
        <f t="shared" si="116"/>
        <v>2029</v>
      </c>
      <c r="C165" s="34">
        <v>0</v>
      </c>
      <c r="D165" s="60"/>
      <c r="E165" s="60"/>
      <c r="F165" s="60"/>
      <c r="G165" s="60"/>
      <c r="H165" s="87">
        <f>IF(H$26,MIN($C165,MAX($C165/$C$157,$C165/(H$26/12))),0)</f>
        <v>0</v>
      </c>
      <c r="I165" s="84">
        <f t="shared" ref="I165:AM165" si="120">IF(AND(I$24-$A165&lt;$C$157,I$26&gt;0),H165*(I$25/12),0)</f>
        <v>0</v>
      </c>
      <c r="J165" s="84">
        <f t="shared" si="120"/>
        <v>0</v>
      </c>
      <c r="K165" s="84">
        <f t="shared" si="120"/>
        <v>0</v>
      </c>
      <c r="L165" s="84">
        <f t="shared" si="120"/>
        <v>0</v>
      </c>
      <c r="M165" s="84">
        <f t="shared" si="120"/>
        <v>0</v>
      </c>
      <c r="N165" s="84">
        <f t="shared" si="120"/>
        <v>0</v>
      </c>
      <c r="O165" s="84">
        <f t="shared" si="120"/>
        <v>0</v>
      </c>
      <c r="P165" s="84">
        <f t="shared" si="120"/>
        <v>0</v>
      </c>
      <c r="Q165" s="84">
        <f t="shared" si="120"/>
        <v>0</v>
      </c>
      <c r="R165" s="84">
        <f t="shared" si="120"/>
        <v>0</v>
      </c>
      <c r="S165" s="84">
        <f t="shared" si="120"/>
        <v>0</v>
      </c>
      <c r="T165" s="84">
        <f t="shared" si="120"/>
        <v>0</v>
      </c>
      <c r="U165" s="84">
        <f t="shared" si="120"/>
        <v>0</v>
      </c>
      <c r="V165" s="84">
        <f t="shared" si="120"/>
        <v>0</v>
      </c>
      <c r="W165" s="84">
        <f t="shared" si="120"/>
        <v>0</v>
      </c>
      <c r="X165" s="84">
        <f t="shared" si="120"/>
        <v>0</v>
      </c>
      <c r="Y165" s="84">
        <f t="shared" si="120"/>
        <v>0</v>
      </c>
      <c r="Z165" s="84">
        <f t="shared" si="120"/>
        <v>0</v>
      </c>
      <c r="AA165" s="84">
        <f t="shared" si="120"/>
        <v>0</v>
      </c>
      <c r="AB165" s="84">
        <f t="shared" si="120"/>
        <v>0</v>
      </c>
      <c r="AC165" s="84">
        <f t="shared" si="120"/>
        <v>0</v>
      </c>
      <c r="AD165" s="84">
        <f t="shared" si="120"/>
        <v>0</v>
      </c>
      <c r="AE165" s="84">
        <f t="shared" si="120"/>
        <v>0</v>
      </c>
      <c r="AF165" s="84">
        <f t="shared" si="120"/>
        <v>0</v>
      </c>
      <c r="AG165" s="84">
        <f t="shared" si="120"/>
        <v>0</v>
      </c>
      <c r="AH165" s="84">
        <f t="shared" si="120"/>
        <v>0</v>
      </c>
      <c r="AI165" s="84">
        <f t="shared" si="120"/>
        <v>0</v>
      </c>
      <c r="AJ165" s="84">
        <f t="shared" si="120"/>
        <v>0</v>
      </c>
      <c r="AK165" s="84">
        <f t="shared" si="120"/>
        <v>0</v>
      </c>
      <c r="AL165" s="84">
        <f t="shared" si="120"/>
        <v>0</v>
      </c>
      <c r="AM165" s="84">
        <f t="shared" si="120"/>
        <v>0</v>
      </c>
      <c r="AN165" s="60"/>
      <c r="AO165" s="87">
        <f t="shared" si="114"/>
        <v>0</v>
      </c>
      <c r="AP165" s="60" t="b">
        <f t="shared" si="115"/>
        <v>1</v>
      </c>
    </row>
    <row r="166" spans="1:42" ht="12" customHeight="1" outlineLevel="1">
      <c r="A166" s="84">
        <v>6</v>
      </c>
      <c r="B166" s="60">
        <f t="shared" si="116"/>
        <v>2030</v>
      </c>
      <c r="C166" s="34">
        <v>0</v>
      </c>
      <c r="D166" s="60"/>
      <c r="E166" s="60"/>
      <c r="F166" s="60"/>
      <c r="G166" s="60"/>
      <c r="H166" s="60"/>
      <c r="I166" s="87">
        <f>IF(I$26,MIN($C166,MAX($C166/$C$157,$C166/(I$26/12))),0)</f>
        <v>0</v>
      </c>
      <c r="J166" s="84">
        <f t="shared" ref="J166:AM166" si="121">IF(AND(J$24-$A166&lt;$C$157,J$26&gt;0),I166*(J$25/12),0)</f>
        <v>0</v>
      </c>
      <c r="K166" s="84">
        <f t="shared" si="121"/>
        <v>0</v>
      </c>
      <c r="L166" s="84">
        <f t="shared" si="121"/>
        <v>0</v>
      </c>
      <c r="M166" s="84">
        <f t="shared" si="121"/>
        <v>0</v>
      </c>
      <c r="N166" s="84">
        <f t="shared" si="121"/>
        <v>0</v>
      </c>
      <c r="O166" s="84">
        <f t="shared" si="121"/>
        <v>0</v>
      </c>
      <c r="P166" s="84">
        <f t="shared" si="121"/>
        <v>0</v>
      </c>
      <c r="Q166" s="84">
        <f t="shared" si="121"/>
        <v>0</v>
      </c>
      <c r="R166" s="84">
        <f t="shared" si="121"/>
        <v>0</v>
      </c>
      <c r="S166" s="84">
        <f t="shared" si="121"/>
        <v>0</v>
      </c>
      <c r="T166" s="84">
        <f t="shared" si="121"/>
        <v>0</v>
      </c>
      <c r="U166" s="84">
        <f t="shared" si="121"/>
        <v>0</v>
      </c>
      <c r="V166" s="84">
        <f t="shared" si="121"/>
        <v>0</v>
      </c>
      <c r="W166" s="84">
        <f t="shared" si="121"/>
        <v>0</v>
      </c>
      <c r="X166" s="84">
        <f t="shared" si="121"/>
        <v>0</v>
      </c>
      <c r="Y166" s="84">
        <f t="shared" si="121"/>
        <v>0</v>
      </c>
      <c r="Z166" s="84">
        <f t="shared" si="121"/>
        <v>0</v>
      </c>
      <c r="AA166" s="84">
        <f t="shared" si="121"/>
        <v>0</v>
      </c>
      <c r="AB166" s="84">
        <f t="shared" si="121"/>
        <v>0</v>
      </c>
      <c r="AC166" s="84">
        <f t="shared" si="121"/>
        <v>0</v>
      </c>
      <c r="AD166" s="84">
        <f t="shared" si="121"/>
        <v>0</v>
      </c>
      <c r="AE166" s="84">
        <f t="shared" si="121"/>
        <v>0</v>
      </c>
      <c r="AF166" s="84">
        <f t="shared" si="121"/>
        <v>0</v>
      </c>
      <c r="AG166" s="84">
        <f t="shared" si="121"/>
        <v>0</v>
      </c>
      <c r="AH166" s="84">
        <f t="shared" si="121"/>
        <v>0</v>
      </c>
      <c r="AI166" s="84">
        <f t="shared" si="121"/>
        <v>0</v>
      </c>
      <c r="AJ166" s="84">
        <f t="shared" si="121"/>
        <v>0</v>
      </c>
      <c r="AK166" s="84">
        <f t="shared" si="121"/>
        <v>0</v>
      </c>
      <c r="AL166" s="84">
        <f t="shared" si="121"/>
        <v>0</v>
      </c>
      <c r="AM166" s="84">
        <f t="shared" si="121"/>
        <v>0</v>
      </c>
      <c r="AN166" s="60"/>
      <c r="AO166" s="87">
        <f t="shared" si="114"/>
        <v>0</v>
      </c>
      <c r="AP166" s="60" t="b">
        <f t="shared" si="115"/>
        <v>1</v>
      </c>
    </row>
    <row r="167" spans="1:42" ht="12" customHeight="1" outlineLevel="1">
      <c r="A167" s="84">
        <v>7</v>
      </c>
      <c r="B167" s="60">
        <f t="shared" si="116"/>
        <v>2031</v>
      </c>
      <c r="C167" s="34">
        <v>0</v>
      </c>
      <c r="D167" s="60"/>
      <c r="E167" s="60"/>
      <c r="F167" s="60"/>
      <c r="G167" s="60"/>
      <c r="H167" s="60"/>
      <c r="I167" s="60"/>
      <c r="J167" s="87">
        <f>IF(J$26,MIN($C167,MAX($C167/$C$157,$C167/(J$26/12))),0)</f>
        <v>0</v>
      </c>
      <c r="K167" s="84">
        <f t="shared" ref="K167:AM167" si="122">IF(AND(K$24-$A167&lt;$C$157,K$26&gt;0),J167*(K$25/12),0)</f>
        <v>0</v>
      </c>
      <c r="L167" s="84">
        <f t="shared" si="122"/>
        <v>0</v>
      </c>
      <c r="M167" s="84">
        <f t="shared" si="122"/>
        <v>0</v>
      </c>
      <c r="N167" s="84">
        <f t="shared" si="122"/>
        <v>0</v>
      </c>
      <c r="O167" s="84">
        <f t="shared" si="122"/>
        <v>0</v>
      </c>
      <c r="P167" s="84">
        <f t="shared" si="122"/>
        <v>0</v>
      </c>
      <c r="Q167" s="84">
        <f t="shared" si="122"/>
        <v>0</v>
      </c>
      <c r="R167" s="84">
        <f t="shared" si="122"/>
        <v>0</v>
      </c>
      <c r="S167" s="84">
        <f t="shared" si="122"/>
        <v>0</v>
      </c>
      <c r="T167" s="84">
        <f t="shared" si="122"/>
        <v>0</v>
      </c>
      <c r="U167" s="84">
        <f t="shared" si="122"/>
        <v>0</v>
      </c>
      <c r="V167" s="84">
        <f t="shared" si="122"/>
        <v>0</v>
      </c>
      <c r="W167" s="84">
        <f t="shared" si="122"/>
        <v>0</v>
      </c>
      <c r="X167" s="84">
        <f t="shared" si="122"/>
        <v>0</v>
      </c>
      <c r="Y167" s="84">
        <f t="shared" si="122"/>
        <v>0</v>
      </c>
      <c r="Z167" s="84">
        <f t="shared" si="122"/>
        <v>0</v>
      </c>
      <c r="AA167" s="84">
        <f t="shared" si="122"/>
        <v>0</v>
      </c>
      <c r="AB167" s="84">
        <f t="shared" si="122"/>
        <v>0</v>
      </c>
      <c r="AC167" s="84">
        <f t="shared" si="122"/>
        <v>0</v>
      </c>
      <c r="AD167" s="84">
        <f t="shared" si="122"/>
        <v>0</v>
      </c>
      <c r="AE167" s="84">
        <f t="shared" si="122"/>
        <v>0</v>
      </c>
      <c r="AF167" s="84">
        <f t="shared" si="122"/>
        <v>0</v>
      </c>
      <c r="AG167" s="84">
        <f t="shared" si="122"/>
        <v>0</v>
      </c>
      <c r="AH167" s="84">
        <f t="shared" si="122"/>
        <v>0</v>
      </c>
      <c r="AI167" s="84">
        <f t="shared" si="122"/>
        <v>0</v>
      </c>
      <c r="AJ167" s="84">
        <f t="shared" si="122"/>
        <v>0</v>
      </c>
      <c r="AK167" s="84">
        <f t="shared" si="122"/>
        <v>0</v>
      </c>
      <c r="AL167" s="84">
        <f t="shared" si="122"/>
        <v>0</v>
      </c>
      <c r="AM167" s="84">
        <f t="shared" si="122"/>
        <v>0</v>
      </c>
      <c r="AN167" s="60"/>
      <c r="AO167" s="87">
        <f t="shared" si="114"/>
        <v>0</v>
      </c>
      <c r="AP167" s="60" t="b">
        <f t="shared" si="115"/>
        <v>1</v>
      </c>
    </row>
    <row r="168" spans="1:42" ht="12" customHeight="1" outlineLevel="1">
      <c r="A168" s="84">
        <v>8</v>
      </c>
      <c r="B168" s="60">
        <f t="shared" si="116"/>
        <v>2032</v>
      </c>
      <c r="C168" s="34">
        <v>0</v>
      </c>
      <c r="D168" s="60"/>
      <c r="E168" s="60"/>
      <c r="F168" s="60"/>
      <c r="G168" s="60"/>
      <c r="H168" s="60"/>
      <c r="I168" s="60"/>
      <c r="J168" s="60"/>
      <c r="K168" s="87">
        <f>IF(K$26,MIN($C168,MAX($C168/$C$157,$C168/(K$26/12))),0)</f>
        <v>0</v>
      </c>
      <c r="L168" s="84">
        <f t="shared" ref="L168:AM168" si="123">IF(AND(L$24-$A168&lt;$C$157,L$26&gt;0),K168*(L$25/12),0)</f>
        <v>0</v>
      </c>
      <c r="M168" s="84">
        <f t="shared" si="123"/>
        <v>0</v>
      </c>
      <c r="N168" s="84">
        <f t="shared" si="123"/>
        <v>0</v>
      </c>
      <c r="O168" s="84">
        <f t="shared" si="123"/>
        <v>0</v>
      </c>
      <c r="P168" s="84">
        <f t="shared" si="123"/>
        <v>0</v>
      </c>
      <c r="Q168" s="84">
        <f t="shared" si="123"/>
        <v>0</v>
      </c>
      <c r="R168" s="84">
        <f t="shared" si="123"/>
        <v>0</v>
      </c>
      <c r="S168" s="84">
        <f t="shared" si="123"/>
        <v>0</v>
      </c>
      <c r="T168" s="84">
        <f t="shared" si="123"/>
        <v>0</v>
      </c>
      <c r="U168" s="84">
        <f t="shared" si="123"/>
        <v>0</v>
      </c>
      <c r="V168" s="84">
        <f t="shared" si="123"/>
        <v>0</v>
      </c>
      <c r="W168" s="84">
        <f t="shared" si="123"/>
        <v>0</v>
      </c>
      <c r="X168" s="84">
        <f t="shared" si="123"/>
        <v>0</v>
      </c>
      <c r="Y168" s="84">
        <f t="shared" si="123"/>
        <v>0</v>
      </c>
      <c r="Z168" s="84">
        <f t="shared" si="123"/>
        <v>0</v>
      </c>
      <c r="AA168" s="84">
        <f t="shared" si="123"/>
        <v>0</v>
      </c>
      <c r="AB168" s="84">
        <f t="shared" si="123"/>
        <v>0</v>
      </c>
      <c r="AC168" s="84">
        <f t="shared" si="123"/>
        <v>0</v>
      </c>
      <c r="AD168" s="84">
        <f t="shared" si="123"/>
        <v>0</v>
      </c>
      <c r="AE168" s="84">
        <f t="shared" si="123"/>
        <v>0</v>
      </c>
      <c r="AF168" s="84">
        <f t="shared" si="123"/>
        <v>0</v>
      </c>
      <c r="AG168" s="84">
        <f t="shared" si="123"/>
        <v>0</v>
      </c>
      <c r="AH168" s="84">
        <f t="shared" si="123"/>
        <v>0</v>
      </c>
      <c r="AI168" s="84">
        <f t="shared" si="123"/>
        <v>0</v>
      </c>
      <c r="AJ168" s="84">
        <f t="shared" si="123"/>
        <v>0</v>
      </c>
      <c r="AK168" s="84">
        <f t="shared" si="123"/>
        <v>0</v>
      </c>
      <c r="AL168" s="84">
        <f t="shared" si="123"/>
        <v>0</v>
      </c>
      <c r="AM168" s="84">
        <f t="shared" si="123"/>
        <v>0</v>
      </c>
      <c r="AN168" s="60"/>
      <c r="AO168" s="87">
        <f t="shared" si="114"/>
        <v>0</v>
      </c>
      <c r="AP168" s="60" t="b">
        <f t="shared" si="115"/>
        <v>1</v>
      </c>
    </row>
    <row r="169" spans="1:42" ht="12" customHeight="1" outlineLevel="1">
      <c r="A169" s="84">
        <v>9</v>
      </c>
      <c r="B169" s="60">
        <f t="shared" si="116"/>
        <v>2033</v>
      </c>
      <c r="C169" s="34">
        <v>0</v>
      </c>
      <c r="D169" s="60"/>
      <c r="E169" s="60"/>
      <c r="F169" s="60"/>
      <c r="G169" s="60"/>
      <c r="H169" s="60"/>
      <c r="I169" s="60"/>
      <c r="J169" s="60"/>
      <c r="K169" s="60"/>
      <c r="L169" s="87">
        <f>IF(L$26,MIN($C169,MAX($C169/$C$157,$C169/(L$26/12))),0)</f>
        <v>0</v>
      </c>
      <c r="M169" s="84">
        <f t="shared" ref="M169:AM169" si="124">IF(AND(M$24-$A169&lt;$C$157,M$26&gt;0),L169*(M$25/12),0)</f>
        <v>0</v>
      </c>
      <c r="N169" s="84">
        <f t="shared" si="124"/>
        <v>0</v>
      </c>
      <c r="O169" s="84">
        <f t="shared" si="124"/>
        <v>0</v>
      </c>
      <c r="P169" s="84">
        <f t="shared" si="124"/>
        <v>0</v>
      </c>
      <c r="Q169" s="84">
        <f t="shared" si="124"/>
        <v>0</v>
      </c>
      <c r="R169" s="84">
        <f t="shared" si="124"/>
        <v>0</v>
      </c>
      <c r="S169" s="84">
        <f t="shared" si="124"/>
        <v>0</v>
      </c>
      <c r="T169" s="84">
        <f t="shared" si="124"/>
        <v>0</v>
      </c>
      <c r="U169" s="84">
        <f t="shared" si="124"/>
        <v>0</v>
      </c>
      <c r="V169" s="84">
        <f t="shared" si="124"/>
        <v>0</v>
      </c>
      <c r="W169" s="84">
        <f t="shared" si="124"/>
        <v>0</v>
      </c>
      <c r="X169" s="84">
        <f t="shared" si="124"/>
        <v>0</v>
      </c>
      <c r="Y169" s="84">
        <f t="shared" si="124"/>
        <v>0</v>
      </c>
      <c r="Z169" s="84">
        <f t="shared" si="124"/>
        <v>0</v>
      </c>
      <c r="AA169" s="84">
        <f t="shared" si="124"/>
        <v>0</v>
      </c>
      <c r="AB169" s="84">
        <f t="shared" si="124"/>
        <v>0</v>
      </c>
      <c r="AC169" s="84">
        <f t="shared" si="124"/>
        <v>0</v>
      </c>
      <c r="AD169" s="84">
        <f t="shared" si="124"/>
        <v>0</v>
      </c>
      <c r="AE169" s="84">
        <f t="shared" si="124"/>
        <v>0</v>
      </c>
      <c r="AF169" s="84">
        <f t="shared" si="124"/>
        <v>0</v>
      </c>
      <c r="AG169" s="84">
        <f t="shared" si="124"/>
        <v>0</v>
      </c>
      <c r="AH169" s="84">
        <f t="shared" si="124"/>
        <v>0</v>
      </c>
      <c r="AI169" s="84">
        <f t="shared" si="124"/>
        <v>0</v>
      </c>
      <c r="AJ169" s="84">
        <f t="shared" si="124"/>
        <v>0</v>
      </c>
      <c r="AK169" s="84">
        <f t="shared" si="124"/>
        <v>0</v>
      </c>
      <c r="AL169" s="84">
        <f t="shared" si="124"/>
        <v>0</v>
      </c>
      <c r="AM169" s="84">
        <f t="shared" si="124"/>
        <v>0</v>
      </c>
      <c r="AN169" s="60"/>
      <c r="AO169" s="87">
        <f t="shared" si="114"/>
        <v>0</v>
      </c>
      <c r="AP169" s="60" t="b">
        <f t="shared" si="115"/>
        <v>1</v>
      </c>
    </row>
    <row r="170" spans="1:42" ht="12" customHeight="1" outlineLevel="1">
      <c r="A170" s="84">
        <v>10</v>
      </c>
      <c r="B170" s="60">
        <f t="shared" si="116"/>
        <v>2034</v>
      </c>
      <c r="C170" s="34">
        <v>0</v>
      </c>
      <c r="D170" s="60"/>
      <c r="E170" s="60"/>
      <c r="F170" s="60"/>
      <c r="G170" s="60"/>
      <c r="H170" s="60"/>
      <c r="I170" s="60"/>
      <c r="J170" s="60"/>
      <c r="K170" s="60"/>
      <c r="L170" s="60"/>
      <c r="M170" s="87">
        <f>IF(M$26,MIN($C170,MAX($C170/$C$157,$C170/(M$26/12))),0)</f>
        <v>0</v>
      </c>
      <c r="N170" s="84">
        <f t="shared" ref="N170:AM170" si="125">IF(AND(N$24-$A170&lt;$C$157,N$26&gt;0),M170*(N$25/12),0)</f>
        <v>0</v>
      </c>
      <c r="O170" s="84">
        <f t="shared" si="125"/>
        <v>0</v>
      </c>
      <c r="P170" s="84">
        <f t="shared" si="125"/>
        <v>0</v>
      </c>
      <c r="Q170" s="84">
        <f t="shared" si="125"/>
        <v>0</v>
      </c>
      <c r="R170" s="84">
        <f t="shared" si="125"/>
        <v>0</v>
      </c>
      <c r="S170" s="84">
        <f t="shared" si="125"/>
        <v>0</v>
      </c>
      <c r="T170" s="84">
        <f t="shared" si="125"/>
        <v>0</v>
      </c>
      <c r="U170" s="84">
        <f t="shared" si="125"/>
        <v>0</v>
      </c>
      <c r="V170" s="84">
        <f t="shared" si="125"/>
        <v>0</v>
      </c>
      <c r="W170" s="84">
        <f t="shared" si="125"/>
        <v>0</v>
      </c>
      <c r="X170" s="84">
        <f t="shared" si="125"/>
        <v>0</v>
      </c>
      <c r="Y170" s="84">
        <f t="shared" si="125"/>
        <v>0</v>
      </c>
      <c r="Z170" s="84">
        <f t="shared" si="125"/>
        <v>0</v>
      </c>
      <c r="AA170" s="84">
        <f t="shared" si="125"/>
        <v>0</v>
      </c>
      <c r="AB170" s="84">
        <f t="shared" si="125"/>
        <v>0</v>
      </c>
      <c r="AC170" s="84">
        <f t="shared" si="125"/>
        <v>0</v>
      </c>
      <c r="AD170" s="84">
        <f t="shared" si="125"/>
        <v>0</v>
      </c>
      <c r="AE170" s="84">
        <f t="shared" si="125"/>
        <v>0</v>
      </c>
      <c r="AF170" s="84">
        <f t="shared" si="125"/>
        <v>0</v>
      </c>
      <c r="AG170" s="84">
        <f t="shared" si="125"/>
        <v>0</v>
      </c>
      <c r="AH170" s="84">
        <f t="shared" si="125"/>
        <v>0</v>
      </c>
      <c r="AI170" s="84">
        <f t="shared" si="125"/>
        <v>0</v>
      </c>
      <c r="AJ170" s="84">
        <f t="shared" si="125"/>
        <v>0</v>
      </c>
      <c r="AK170" s="84">
        <f t="shared" si="125"/>
        <v>0</v>
      </c>
      <c r="AL170" s="84">
        <f t="shared" si="125"/>
        <v>0</v>
      </c>
      <c r="AM170" s="84">
        <f t="shared" si="125"/>
        <v>0</v>
      </c>
      <c r="AN170" s="60"/>
      <c r="AO170" s="87">
        <f t="shared" si="114"/>
        <v>0</v>
      </c>
      <c r="AP170" s="60" t="b">
        <f t="shared" si="115"/>
        <v>1</v>
      </c>
    </row>
    <row r="171" spans="1:42" ht="12" customHeight="1" outlineLevel="1">
      <c r="A171" s="84">
        <v>11</v>
      </c>
      <c r="B171" s="60">
        <f t="shared" si="116"/>
        <v>2035</v>
      </c>
      <c r="C171" s="34">
        <v>0</v>
      </c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87">
        <f>IF(N$26,MIN($C171,MAX($C171/$C$157,$C171/(N$26/12))),0)</f>
        <v>0</v>
      </c>
      <c r="O171" s="84">
        <f t="shared" ref="O171:AM171" si="126">IF(AND(O$24-$A171&lt;$C$157,O$26&gt;0),N171*(O$25/12),0)</f>
        <v>0</v>
      </c>
      <c r="P171" s="84">
        <f t="shared" si="126"/>
        <v>0</v>
      </c>
      <c r="Q171" s="84">
        <f t="shared" si="126"/>
        <v>0</v>
      </c>
      <c r="R171" s="84">
        <f t="shared" si="126"/>
        <v>0</v>
      </c>
      <c r="S171" s="84">
        <f t="shared" si="126"/>
        <v>0</v>
      </c>
      <c r="T171" s="84">
        <f t="shared" si="126"/>
        <v>0</v>
      </c>
      <c r="U171" s="84">
        <f t="shared" si="126"/>
        <v>0</v>
      </c>
      <c r="V171" s="84">
        <f t="shared" si="126"/>
        <v>0</v>
      </c>
      <c r="W171" s="84">
        <f t="shared" si="126"/>
        <v>0</v>
      </c>
      <c r="X171" s="84">
        <f t="shared" si="126"/>
        <v>0</v>
      </c>
      <c r="Y171" s="84">
        <f t="shared" si="126"/>
        <v>0</v>
      </c>
      <c r="Z171" s="84">
        <f t="shared" si="126"/>
        <v>0</v>
      </c>
      <c r="AA171" s="84">
        <f t="shared" si="126"/>
        <v>0</v>
      </c>
      <c r="AB171" s="84">
        <f t="shared" si="126"/>
        <v>0</v>
      </c>
      <c r="AC171" s="84">
        <f t="shared" si="126"/>
        <v>0</v>
      </c>
      <c r="AD171" s="84">
        <f t="shared" si="126"/>
        <v>0</v>
      </c>
      <c r="AE171" s="84">
        <f t="shared" si="126"/>
        <v>0</v>
      </c>
      <c r="AF171" s="84">
        <f t="shared" si="126"/>
        <v>0</v>
      </c>
      <c r="AG171" s="84">
        <f t="shared" si="126"/>
        <v>0</v>
      </c>
      <c r="AH171" s="84">
        <f t="shared" si="126"/>
        <v>0</v>
      </c>
      <c r="AI171" s="84">
        <f t="shared" si="126"/>
        <v>0</v>
      </c>
      <c r="AJ171" s="84">
        <f t="shared" si="126"/>
        <v>0</v>
      </c>
      <c r="AK171" s="84">
        <f t="shared" si="126"/>
        <v>0</v>
      </c>
      <c r="AL171" s="84">
        <f t="shared" si="126"/>
        <v>0</v>
      </c>
      <c r="AM171" s="84">
        <f t="shared" si="126"/>
        <v>0</v>
      </c>
      <c r="AN171" s="60"/>
      <c r="AO171" s="87">
        <f t="shared" si="114"/>
        <v>0</v>
      </c>
      <c r="AP171" s="60" t="b">
        <f t="shared" si="115"/>
        <v>1</v>
      </c>
    </row>
    <row r="172" spans="1:42" ht="12" customHeight="1" outlineLevel="1">
      <c r="A172" s="84">
        <v>12</v>
      </c>
      <c r="B172" s="60">
        <f t="shared" si="116"/>
        <v>2036</v>
      </c>
      <c r="C172" s="34">
        <v>0</v>
      </c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87">
        <f>IF(O$26,MIN($C172,MAX($C172/$C$157,$C172/(O$26/12))),0)</f>
        <v>0</v>
      </c>
      <c r="P172" s="84">
        <f t="shared" ref="P172:AM172" si="127">IF(AND(P$24-$A172&lt;$C$157,P$26&gt;0),O172*(P$25/12),0)</f>
        <v>0</v>
      </c>
      <c r="Q172" s="84">
        <f t="shared" si="127"/>
        <v>0</v>
      </c>
      <c r="R172" s="84">
        <f t="shared" si="127"/>
        <v>0</v>
      </c>
      <c r="S172" s="84">
        <f t="shared" si="127"/>
        <v>0</v>
      </c>
      <c r="T172" s="84">
        <f t="shared" si="127"/>
        <v>0</v>
      </c>
      <c r="U172" s="84">
        <f t="shared" si="127"/>
        <v>0</v>
      </c>
      <c r="V172" s="84">
        <f t="shared" si="127"/>
        <v>0</v>
      </c>
      <c r="W172" s="84">
        <f t="shared" si="127"/>
        <v>0</v>
      </c>
      <c r="X172" s="84">
        <f t="shared" si="127"/>
        <v>0</v>
      </c>
      <c r="Y172" s="84">
        <f t="shared" si="127"/>
        <v>0</v>
      </c>
      <c r="Z172" s="84">
        <f t="shared" si="127"/>
        <v>0</v>
      </c>
      <c r="AA172" s="84">
        <f t="shared" si="127"/>
        <v>0</v>
      </c>
      <c r="AB172" s="84">
        <f t="shared" si="127"/>
        <v>0</v>
      </c>
      <c r="AC172" s="84">
        <f t="shared" si="127"/>
        <v>0</v>
      </c>
      <c r="AD172" s="84">
        <f t="shared" si="127"/>
        <v>0</v>
      </c>
      <c r="AE172" s="84">
        <f t="shared" si="127"/>
        <v>0</v>
      </c>
      <c r="AF172" s="84">
        <f t="shared" si="127"/>
        <v>0</v>
      </c>
      <c r="AG172" s="84">
        <f t="shared" si="127"/>
        <v>0</v>
      </c>
      <c r="AH172" s="84">
        <f t="shared" si="127"/>
        <v>0</v>
      </c>
      <c r="AI172" s="84">
        <f t="shared" si="127"/>
        <v>0</v>
      </c>
      <c r="AJ172" s="84">
        <f t="shared" si="127"/>
        <v>0</v>
      </c>
      <c r="AK172" s="84">
        <f t="shared" si="127"/>
        <v>0</v>
      </c>
      <c r="AL172" s="84">
        <f t="shared" si="127"/>
        <v>0</v>
      </c>
      <c r="AM172" s="84">
        <f t="shared" si="127"/>
        <v>0</v>
      </c>
      <c r="AN172" s="60"/>
      <c r="AO172" s="87">
        <f t="shared" si="114"/>
        <v>0</v>
      </c>
      <c r="AP172" s="60" t="b">
        <f t="shared" si="115"/>
        <v>1</v>
      </c>
    </row>
    <row r="173" spans="1:42" ht="12" customHeight="1" outlineLevel="1">
      <c r="A173" s="84">
        <v>13</v>
      </c>
      <c r="B173" s="60">
        <f t="shared" si="116"/>
        <v>2037</v>
      </c>
      <c r="C173" s="34">
        <v>0</v>
      </c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87">
        <f>IF(P$26,MIN($C173,MAX($C173/$C$157,$C173/(P$26/12))),0)</f>
        <v>0</v>
      </c>
      <c r="Q173" s="84">
        <f t="shared" ref="Q173:AM173" si="128">IF(AND(Q$24-$A173&lt;$C$157,Q$26&gt;0),P173*(Q$25/12),0)</f>
        <v>0</v>
      </c>
      <c r="R173" s="84">
        <f t="shared" si="128"/>
        <v>0</v>
      </c>
      <c r="S173" s="84">
        <f t="shared" si="128"/>
        <v>0</v>
      </c>
      <c r="T173" s="84">
        <f t="shared" si="128"/>
        <v>0</v>
      </c>
      <c r="U173" s="84">
        <f t="shared" si="128"/>
        <v>0</v>
      </c>
      <c r="V173" s="84">
        <f t="shared" si="128"/>
        <v>0</v>
      </c>
      <c r="W173" s="84">
        <f t="shared" si="128"/>
        <v>0</v>
      </c>
      <c r="X173" s="84">
        <f t="shared" si="128"/>
        <v>0</v>
      </c>
      <c r="Y173" s="84">
        <f t="shared" si="128"/>
        <v>0</v>
      </c>
      <c r="Z173" s="84">
        <f t="shared" si="128"/>
        <v>0</v>
      </c>
      <c r="AA173" s="84">
        <f t="shared" si="128"/>
        <v>0</v>
      </c>
      <c r="AB173" s="84">
        <f t="shared" si="128"/>
        <v>0</v>
      </c>
      <c r="AC173" s="84">
        <f t="shared" si="128"/>
        <v>0</v>
      </c>
      <c r="AD173" s="84">
        <f t="shared" si="128"/>
        <v>0</v>
      </c>
      <c r="AE173" s="84">
        <f t="shared" si="128"/>
        <v>0</v>
      </c>
      <c r="AF173" s="84">
        <f t="shared" si="128"/>
        <v>0</v>
      </c>
      <c r="AG173" s="84">
        <f t="shared" si="128"/>
        <v>0</v>
      </c>
      <c r="AH173" s="84">
        <f t="shared" si="128"/>
        <v>0</v>
      </c>
      <c r="AI173" s="84">
        <f t="shared" si="128"/>
        <v>0</v>
      </c>
      <c r="AJ173" s="84">
        <f t="shared" si="128"/>
        <v>0</v>
      </c>
      <c r="AK173" s="84">
        <f t="shared" si="128"/>
        <v>0</v>
      </c>
      <c r="AL173" s="84">
        <f t="shared" si="128"/>
        <v>0</v>
      </c>
      <c r="AM173" s="84">
        <f t="shared" si="128"/>
        <v>0</v>
      </c>
      <c r="AN173" s="60"/>
      <c r="AO173" s="87">
        <f t="shared" si="114"/>
        <v>0</v>
      </c>
      <c r="AP173" s="60" t="b">
        <f t="shared" si="115"/>
        <v>1</v>
      </c>
    </row>
    <row r="174" spans="1:42" ht="12" customHeight="1" outlineLevel="1">
      <c r="A174" s="84">
        <v>14</v>
      </c>
      <c r="B174" s="60">
        <f t="shared" si="116"/>
        <v>2038</v>
      </c>
      <c r="C174" s="34">
        <v>0</v>
      </c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87">
        <f>IF(Q$26,MIN($C174,MAX($C174/$C$157,$C174/(Q$26/12))),0)</f>
        <v>0</v>
      </c>
      <c r="R174" s="84">
        <f t="shared" ref="R174:AM174" si="129">IF(AND(R$24-$A174&lt;$C$157,R$26&gt;0),Q174*(R$25/12),0)</f>
        <v>0</v>
      </c>
      <c r="S174" s="84">
        <f t="shared" si="129"/>
        <v>0</v>
      </c>
      <c r="T174" s="84">
        <f t="shared" si="129"/>
        <v>0</v>
      </c>
      <c r="U174" s="84">
        <f t="shared" si="129"/>
        <v>0</v>
      </c>
      <c r="V174" s="84">
        <f t="shared" si="129"/>
        <v>0</v>
      </c>
      <c r="W174" s="84">
        <f t="shared" si="129"/>
        <v>0</v>
      </c>
      <c r="X174" s="84">
        <f t="shared" si="129"/>
        <v>0</v>
      </c>
      <c r="Y174" s="84">
        <f t="shared" si="129"/>
        <v>0</v>
      </c>
      <c r="Z174" s="84">
        <f t="shared" si="129"/>
        <v>0</v>
      </c>
      <c r="AA174" s="84">
        <f t="shared" si="129"/>
        <v>0</v>
      </c>
      <c r="AB174" s="84">
        <f t="shared" si="129"/>
        <v>0</v>
      </c>
      <c r="AC174" s="84">
        <f t="shared" si="129"/>
        <v>0</v>
      </c>
      <c r="AD174" s="84">
        <f t="shared" si="129"/>
        <v>0</v>
      </c>
      <c r="AE174" s="84">
        <f t="shared" si="129"/>
        <v>0</v>
      </c>
      <c r="AF174" s="84">
        <f t="shared" si="129"/>
        <v>0</v>
      </c>
      <c r="AG174" s="84">
        <f t="shared" si="129"/>
        <v>0</v>
      </c>
      <c r="AH174" s="84">
        <f t="shared" si="129"/>
        <v>0</v>
      </c>
      <c r="AI174" s="84">
        <f t="shared" si="129"/>
        <v>0</v>
      </c>
      <c r="AJ174" s="84">
        <f t="shared" si="129"/>
        <v>0</v>
      </c>
      <c r="AK174" s="84">
        <f t="shared" si="129"/>
        <v>0</v>
      </c>
      <c r="AL174" s="84">
        <f t="shared" si="129"/>
        <v>0</v>
      </c>
      <c r="AM174" s="84">
        <f t="shared" si="129"/>
        <v>0</v>
      </c>
      <c r="AN174" s="60"/>
      <c r="AO174" s="87">
        <f t="shared" si="114"/>
        <v>0</v>
      </c>
      <c r="AP174" s="60" t="b">
        <f t="shared" si="115"/>
        <v>1</v>
      </c>
    </row>
    <row r="175" spans="1:42" ht="12" customHeight="1" outlineLevel="1">
      <c r="A175" s="84">
        <v>15</v>
      </c>
      <c r="B175" s="60">
        <f t="shared" si="116"/>
        <v>2039</v>
      </c>
      <c r="C175" s="34">
        <v>0</v>
      </c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87">
        <f>IF(R$26,MIN($C175,MAX($C175/$C$157,$C175/(R$26/12))),0)</f>
        <v>0</v>
      </c>
      <c r="S175" s="84">
        <f t="shared" ref="S175:AM175" si="130">IF(AND(S$24-$A175&lt;$C$157,S$26&gt;0),R175*(S$25/12),0)</f>
        <v>0</v>
      </c>
      <c r="T175" s="84">
        <f t="shared" si="130"/>
        <v>0</v>
      </c>
      <c r="U175" s="84">
        <f t="shared" si="130"/>
        <v>0</v>
      </c>
      <c r="V175" s="84">
        <f t="shared" si="130"/>
        <v>0</v>
      </c>
      <c r="W175" s="84">
        <f t="shared" si="130"/>
        <v>0</v>
      </c>
      <c r="X175" s="84">
        <f t="shared" si="130"/>
        <v>0</v>
      </c>
      <c r="Y175" s="84">
        <f t="shared" si="130"/>
        <v>0</v>
      </c>
      <c r="Z175" s="84">
        <f t="shared" si="130"/>
        <v>0</v>
      </c>
      <c r="AA175" s="84">
        <f t="shared" si="130"/>
        <v>0</v>
      </c>
      <c r="AB175" s="84">
        <f t="shared" si="130"/>
        <v>0</v>
      </c>
      <c r="AC175" s="84">
        <f t="shared" si="130"/>
        <v>0</v>
      </c>
      <c r="AD175" s="84">
        <f t="shared" si="130"/>
        <v>0</v>
      </c>
      <c r="AE175" s="84">
        <f t="shared" si="130"/>
        <v>0</v>
      </c>
      <c r="AF175" s="84">
        <f t="shared" si="130"/>
        <v>0</v>
      </c>
      <c r="AG175" s="84">
        <f t="shared" si="130"/>
        <v>0</v>
      </c>
      <c r="AH175" s="84">
        <f t="shared" si="130"/>
        <v>0</v>
      </c>
      <c r="AI175" s="84">
        <f t="shared" si="130"/>
        <v>0</v>
      </c>
      <c r="AJ175" s="84">
        <f t="shared" si="130"/>
        <v>0</v>
      </c>
      <c r="AK175" s="84">
        <f t="shared" si="130"/>
        <v>0</v>
      </c>
      <c r="AL175" s="84">
        <f t="shared" si="130"/>
        <v>0</v>
      </c>
      <c r="AM175" s="84">
        <f t="shared" si="130"/>
        <v>0</v>
      </c>
      <c r="AN175" s="60"/>
      <c r="AO175" s="87">
        <f t="shared" si="114"/>
        <v>0</v>
      </c>
      <c r="AP175" s="60" t="b">
        <f t="shared" si="115"/>
        <v>1</v>
      </c>
    </row>
    <row r="176" spans="1:42" ht="12" customHeight="1" outlineLevel="1">
      <c r="A176" s="84">
        <v>16</v>
      </c>
      <c r="B176" s="60">
        <f t="shared" si="116"/>
        <v>2040</v>
      </c>
      <c r="C176" s="34">
        <v>0</v>
      </c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87">
        <f>IF(S$26,MIN($C176,MAX($C176/$C$157,$C176/(S$26/12))),0)</f>
        <v>0</v>
      </c>
      <c r="T176" s="84">
        <f t="shared" ref="T176:AM176" si="131">IF(AND(T$24-$A176&lt;$C$157,T$26&gt;0),S176*(T$25/12),0)</f>
        <v>0</v>
      </c>
      <c r="U176" s="84">
        <f t="shared" si="131"/>
        <v>0</v>
      </c>
      <c r="V176" s="84">
        <f t="shared" si="131"/>
        <v>0</v>
      </c>
      <c r="W176" s="84">
        <f t="shared" si="131"/>
        <v>0</v>
      </c>
      <c r="X176" s="84">
        <f t="shared" si="131"/>
        <v>0</v>
      </c>
      <c r="Y176" s="84">
        <f t="shared" si="131"/>
        <v>0</v>
      </c>
      <c r="Z176" s="84">
        <f t="shared" si="131"/>
        <v>0</v>
      </c>
      <c r="AA176" s="84">
        <f t="shared" si="131"/>
        <v>0</v>
      </c>
      <c r="AB176" s="84">
        <f t="shared" si="131"/>
        <v>0</v>
      </c>
      <c r="AC176" s="84">
        <f t="shared" si="131"/>
        <v>0</v>
      </c>
      <c r="AD176" s="84">
        <f t="shared" si="131"/>
        <v>0</v>
      </c>
      <c r="AE176" s="84">
        <f t="shared" si="131"/>
        <v>0</v>
      </c>
      <c r="AF176" s="84">
        <f t="shared" si="131"/>
        <v>0</v>
      </c>
      <c r="AG176" s="84">
        <f t="shared" si="131"/>
        <v>0</v>
      </c>
      <c r="AH176" s="84">
        <f t="shared" si="131"/>
        <v>0</v>
      </c>
      <c r="AI176" s="84">
        <f t="shared" si="131"/>
        <v>0</v>
      </c>
      <c r="AJ176" s="84">
        <f t="shared" si="131"/>
        <v>0</v>
      </c>
      <c r="AK176" s="84">
        <f t="shared" si="131"/>
        <v>0</v>
      </c>
      <c r="AL176" s="84">
        <f t="shared" si="131"/>
        <v>0</v>
      </c>
      <c r="AM176" s="84">
        <f t="shared" si="131"/>
        <v>0</v>
      </c>
      <c r="AN176" s="60"/>
      <c r="AO176" s="87">
        <f t="shared" si="114"/>
        <v>0</v>
      </c>
      <c r="AP176" s="60" t="b">
        <f t="shared" si="115"/>
        <v>1</v>
      </c>
    </row>
    <row r="177" spans="1:42" ht="12" customHeight="1" outlineLevel="1">
      <c r="A177" s="84">
        <v>17</v>
      </c>
      <c r="B177" s="60">
        <f t="shared" si="116"/>
        <v>2041</v>
      </c>
      <c r="C177" s="34">
        <v>0</v>
      </c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87">
        <f>IF(T$26,MIN($C177,MAX($C177/$C$157,$C177/(T$26/12))),0)</f>
        <v>0</v>
      </c>
      <c r="U177" s="84">
        <f t="shared" ref="U177:AM177" si="132">IF(AND(U$24-$A177&lt;$C$157,U$26&gt;0),T177*(U$25/12),0)</f>
        <v>0</v>
      </c>
      <c r="V177" s="84">
        <f t="shared" si="132"/>
        <v>0</v>
      </c>
      <c r="W177" s="84">
        <f t="shared" si="132"/>
        <v>0</v>
      </c>
      <c r="X177" s="84">
        <f t="shared" si="132"/>
        <v>0</v>
      </c>
      <c r="Y177" s="84">
        <f t="shared" si="132"/>
        <v>0</v>
      </c>
      <c r="Z177" s="84">
        <f t="shared" si="132"/>
        <v>0</v>
      </c>
      <c r="AA177" s="84">
        <f t="shared" si="132"/>
        <v>0</v>
      </c>
      <c r="AB177" s="84">
        <f t="shared" si="132"/>
        <v>0</v>
      </c>
      <c r="AC177" s="84">
        <f t="shared" si="132"/>
        <v>0</v>
      </c>
      <c r="AD177" s="84">
        <f t="shared" si="132"/>
        <v>0</v>
      </c>
      <c r="AE177" s="84">
        <f t="shared" si="132"/>
        <v>0</v>
      </c>
      <c r="AF177" s="84">
        <f t="shared" si="132"/>
        <v>0</v>
      </c>
      <c r="AG177" s="84">
        <f t="shared" si="132"/>
        <v>0</v>
      </c>
      <c r="AH177" s="84">
        <f t="shared" si="132"/>
        <v>0</v>
      </c>
      <c r="AI177" s="84">
        <f t="shared" si="132"/>
        <v>0</v>
      </c>
      <c r="AJ177" s="84">
        <f t="shared" si="132"/>
        <v>0</v>
      </c>
      <c r="AK177" s="84">
        <f t="shared" si="132"/>
        <v>0</v>
      </c>
      <c r="AL177" s="84">
        <f t="shared" si="132"/>
        <v>0</v>
      </c>
      <c r="AM177" s="84">
        <f t="shared" si="132"/>
        <v>0</v>
      </c>
      <c r="AN177" s="60"/>
      <c r="AO177" s="87">
        <f t="shared" si="114"/>
        <v>0</v>
      </c>
      <c r="AP177" s="60" t="b">
        <f t="shared" si="115"/>
        <v>1</v>
      </c>
    </row>
    <row r="178" spans="1:42" ht="12" customHeight="1" outlineLevel="1">
      <c r="A178" s="84">
        <v>18</v>
      </c>
      <c r="B178" s="60">
        <f t="shared" si="116"/>
        <v>2042</v>
      </c>
      <c r="C178" s="34">
        <v>0</v>
      </c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87">
        <f>IF(U$26,MIN($C178,MAX($C178/$C$157,$C178/(U$26/12))),0)</f>
        <v>0</v>
      </c>
      <c r="V178" s="84">
        <f t="shared" ref="V178:AM178" si="133">IF(AND(V$24-$A178&lt;$C$157,V$26&gt;0),U178*(V$25/12),0)</f>
        <v>0</v>
      </c>
      <c r="W178" s="84">
        <f t="shared" si="133"/>
        <v>0</v>
      </c>
      <c r="X178" s="84">
        <f t="shared" si="133"/>
        <v>0</v>
      </c>
      <c r="Y178" s="84">
        <f t="shared" si="133"/>
        <v>0</v>
      </c>
      <c r="Z178" s="84">
        <f t="shared" si="133"/>
        <v>0</v>
      </c>
      <c r="AA178" s="84">
        <f t="shared" si="133"/>
        <v>0</v>
      </c>
      <c r="AB178" s="84">
        <f t="shared" si="133"/>
        <v>0</v>
      </c>
      <c r="AC178" s="84">
        <f t="shared" si="133"/>
        <v>0</v>
      </c>
      <c r="AD178" s="84">
        <f t="shared" si="133"/>
        <v>0</v>
      </c>
      <c r="AE178" s="84">
        <f t="shared" si="133"/>
        <v>0</v>
      </c>
      <c r="AF178" s="84">
        <f t="shared" si="133"/>
        <v>0</v>
      </c>
      <c r="AG178" s="84">
        <f t="shared" si="133"/>
        <v>0</v>
      </c>
      <c r="AH178" s="84">
        <f t="shared" si="133"/>
        <v>0</v>
      </c>
      <c r="AI178" s="84">
        <f t="shared" si="133"/>
        <v>0</v>
      </c>
      <c r="AJ178" s="84">
        <f t="shared" si="133"/>
        <v>0</v>
      </c>
      <c r="AK178" s="84">
        <f t="shared" si="133"/>
        <v>0</v>
      </c>
      <c r="AL178" s="84">
        <f t="shared" si="133"/>
        <v>0</v>
      </c>
      <c r="AM178" s="84">
        <f t="shared" si="133"/>
        <v>0</v>
      </c>
      <c r="AN178" s="60"/>
      <c r="AO178" s="87">
        <f t="shared" si="114"/>
        <v>0</v>
      </c>
      <c r="AP178" s="60" t="b">
        <f t="shared" si="115"/>
        <v>1</v>
      </c>
    </row>
    <row r="179" spans="1:42" ht="12" customHeight="1" outlineLevel="1">
      <c r="A179" s="84">
        <v>19</v>
      </c>
      <c r="B179" s="60">
        <f t="shared" si="116"/>
        <v>2043</v>
      </c>
      <c r="C179" s="34">
        <v>0</v>
      </c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87">
        <f>IF(V$26,MIN($C179,MAX($C179/$C$157,$C179/(V$26/12))),0)</f>
        <v>0</v>
      </c>
      <c r="W179" s="84">
        <f t="shared" ref="W179:AM179" si="134">IF(AND(W$24-$A179&lt;$C$157,W$26&gt;0),V179*(W$25/12),0)</f>
        <v>0</v>
      </c>
      <c r="X179" s="84">
        <f t="shared" si="134"/>
        <v>0</v>
      </c>
      <c r="Y179" s="84">
        <f t="shared" si="134"/>
        <v>0</v>
      </c>
      <c r="Z179" s="84">
        <f t="shared" si="134"/>
        <v>0</v>
      </c>
      <c r="AA179" s="84">
        <f t="shared" si="134"/>
        <v>0</v>
      </c>
      <c r="AB179" s="84">
        <f t="shared" si="134"/>
        <v>0</v>
      </c>
      <c r="AC179" s="84">
        <f t="shared" si="134"/>
        <v>0</v>
      </c>
      <c r="AD179" s="84">
        <f t="shared" si="134"/>
        <v>0</v>
      </c>
      <c r="AE179" s="84">
        <f t="shared" si="134"/>
        <v>0</v>
      </c>
      <c r="AF179" s="84">
        <f t="shared" si="134"/>
        <v>0</v>
      </c>
      <c r="AG179" s="84">
        <f t="shared" si="134"/>
        <v>0</v>
      </c>
      <c r="AH179" s="84">
        <f t="shared" si="134"/>
        <v>0</v>
      </c>
      <c r="AI179" s="84">
        <f t="shared" si="134"/>
        <v>0</v>
      </c>
      <c r="AJ179" s="84">
        <f t="shared" si="134"/>
        <v>0</v>
      </c>
      <c r="AK179" s="84">
        <f t="shared" si="134"/>
        <v>0</v>
      </c>
      <c r="AL179" s="84">
        <f t="shared" si="134"/>
        <v>0</v>
      </c>
      <c r="AM179" s="84">
        <f t="shared" si="134"/>
        <v>0</v>
      </c>
      <c r="AN179" s="60"/>
      <c r="AO179" s="87">
        <f t="shared" si="114"/>
        <v>0</v>
      </c>
      <c r="AP179" s="60" t="b">
        <f t="shared" si="115"/>
        <v>1</v>
      </c>
    </row>
    <row r="180" spans="1:42" ht="12" customHeight="1" outlineLevel="1">
      <c r="A180" s="84">
        <v>20</v>
      </c>
      <c r="B180" s="60">
        <f t="shared" si="116"/>
        <v>2044</v>
      </c>
      <c r="C180" s="34">
        <v>0</v>
      </c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87">
        <f>IF(W$26,MIN($C180,MAX($C180/$C$157,$C180/(W$26/12))),0)</f>
        <v>0</v>
      </c>
      <c r="X180" s="84">
        <f t="shared" ref="X180:AM180" si="135">IF(AND(X$24-$A180&lt;$C$157,X$26&gt;0),W180*(X$25/12),0)</f>
        <v>0</v>
      </c>
      <c r="Y180" s="84">
        <f t="shared" si="135"/>
        <v>0</v>
      </c>
      <c r="Z180" s="84">
        <f t="shared" si="135"/>
        <v>0</v>
      </c>
      <c r="AA180" s="84">
        <f t="shared" si="135"/>
        <v>0</v>
      </c>
      <c r="AB180" s="84">
        <f t="shared" si="135"/>
        <v>0</v>
      </c>
      <c r="AC180" s="84">
        <f t="shared" si="135"/>
        <v>0</v>
      </c>
      <c r="AD180" s="84">
        <f t="shared" si="135"/>
        <v>0</v>
      </c>
      <c r="AE180" s="84">
        <f t="shared" si="135"/>
        <v>0</v>
      </c>
      <c r="AF180" s="84">
        <f t="shared" si="135"/>
        <v>0</v>
      </c>
      <c r="AG180" s="84">
        <f t="shared" si="135"/>
        <v>0</v>
      </c>
      <c r="AH180" s="84">
        <f t="shared" si="135"/>
        <v>0</v>
      </c>
      <c r="AI180" s="84">
        <f t="shared" si="135"/>
        <v>0</v>
      </c>
      <c r="AJ180" s="84">
        <f t="shared" si="135"/>
        <v>0</v>
      </c>
      <c r="AK180" s="84">
        <f t="shared" si="135"/>
        <v>0</v>
      </c>
      <c r="AL180" s="84">
        <f t="shared" si="135"/>
        <v>0</v>
      </c>
      <c r="AM180" s="84">
        <f t="shared" si="135"/>
        <v>0</v>
      </c>
      <c r="AN180" s="60"/>
      <c r="AO180" s="87">
        <f t="shared" si="114"/>
        <v>0</v>
      </c>
      <c r="AP180" s="60" t="b">
        <f t="shared" si="115"/>
        <v>1</v>
      </c>
    </row>
    <row r="181" spans="1:42" ht="12" customHeight="1" outlineLevel="1">
      <c r="A181" s="84">
        <v>21</v>
      </c>
      <c r="B181" s="60">
        <f t="shared" si="116"/>
        <v>2045</v>
      </c>
      <c r="C181" s="34">
        <v>0</v>
      </c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87">
        <f>IF(X$26,MIN($C181,MAX($C181/$C$157,$C181/(X$26/12))),0)</f>
        <v>0</v>
      </c>
      <c r="Y181" s="84">
        <f t="shared" ref="Y181:AM181" si="136">IF(AND(Y$24-$A181&lt;$C$157,Y$26&gt;0),X181*(Y$25/12),0)</f>
        <v>0</v>
      </c>
      <c r="Z181" s="84">
        <f t="shared" si="136"/>
        <v>0</v>
      </c>
      <c r="AA181" s="84">
        <f t="shared" si="136"/>
        <v>0</v>
      </c>
      <c r="AB181" s="84">
        <f t="shared" si="136"/>
        <v>0</v>
      </c>
      <c r="AC181" s="84">
        <f t="shared" si="136"/>
        <v>0</v>
      </c>
      <c r="AD181" s="84">
        <f t="shared" si="136"/>
        <v>0</v>
      </c>
      <c r="AE181" s="84">
        <f t="shared" si="136"/>
        <v>0</v>
      </c>
      <c r="AF181" s="84">
        <f t="shared" si="136"/>
        <v>0</v>
      </c>
      <c r="AG181" s="84">
        <f t="shared" si="136"/>
        <v>0</v>
      </c>
      <c r="AH181" s="84">
        <f t="shared" si="136"/>
        <v>0</v>
      </c>
      <c r="AI181" s="84">
        <f t="shared" si="136"/>
        <v>0</v>
      </c>
      <c r="AJ181" s="84">
        <f t="shared" si="136"/>
        <v>0</v>
      </c>
      <c r="AK181" s="84">
        <f t="shared" si="136"/>
        <v>0</v>
      </c>
      <c r="AL181" s="84">
        <f t="shared" si="136"/>
        <v>0</v>
      </c>
      <c r="AM181" s="84">
        <f t="shared" si="136"/>
        <v>0</v>
      </c>
      <c r="AN181" s="60"/>
      <c r="AO181" s="87">
        <f t="shared" si="114"/>
        <v>0</v>
      </c>
      <c r="AP181" s="60" t="b">
        <f t="shared" si="115"/>
        <v>1</v>
      </c>
    </row>
    <row r="182" spans="1:42" ht="12" customHeight="1" outlineLevel="1">
      <c r="A182" s="84">
        <v>22</v>
      </c>
      <c r="B182" s="60">
        <f t="shared" si="116"/>
        <v>2046</v>
      </c>
      <c r="C182" s="34">
        <v>0</v>
      </c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87">
        <f>IF(Y$26,MIN($C182,MAX($C182/$C$157,$C182/(Y$26/12))),0)</f>
        <v>0</v>
      </c>
      <c r="Z182" s="84">
        <f t="shared" ref="Z182:AM182" si="137">IF(AND(Z$24-$A182&lt;$C$157,Z$26&gt;0),Y182*(Z$25/12),0)</f>
        <v>0</v>
      </c>
      <c r="AA182" s="84">
        <f t="shared" si="137"/>
        <v>0</v>
      </c>
      <c r="AB182" s="84">
        <f t="shared" si="137"/>
        <v>0</v>
      </c>
      <c r="AC182" s="84">
        <f t="shared" si="137"/>
        <v>0</v>
      </c>
      <c r="AD182" s="84">
        <f t="shared" si="137"/>
        <v>0</v>
      </c>
      <c r="AE182" s="84">
        <f t="shared" si="137"/>
        <v>0</v>
      </c>
      <c r="AF182" s="84">
        <f t="shared" si="137"/>
        <v>0</v>
      </c>
      <c r="AG182" s="84">
        <f t="shared" si="137"/>
        <v>0</v>
      </c>
      <c r="AH182" s="84">
        <f t="shared" si="137"/>
        <v>0</v>
      </c>
      <c r="AI182" s="84">
        <f t="shared" si="137"/>
        <v>0</v>
      </c>
      <c r="AJ182" s="84">
        <f t="shared" si="137"/>
        <v>0</v>
      </c>
      <c r="AK182" s="84">
        <f t="shared" si="137"/>
        <v>0</v>
      </c>
      <c r="AL182" s="84">
        <f t="shared" si="137"/>
        <v>0</v>
      </c>
      <c r="AM182" s="84">
        <f t="shared" si="137"/>
        <v>0</v>
      </c>
      <c r="AN182" s="60"/>
      <c r="AO182" s="87">
        <f t="shared" si="114"/>
        <v>0</v>
      </c>
      <c r="AP182" s="60" t="b">
        <f t="shared" si="115"/>
        <v>1</v>
      </c>
    </row>
    <row r="183" spans="1:42" ht="12" customHeight="1" outlineLevel="1">
      <c r="A183" s="84">
        <v>23</v>
      </c>
      <c r="B183" s="60">
        <f t="shared" si="116"/>
        <v>2047</v>
      </c>
      <c r="C183" s="34">
        <v>0</v>
      </c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87">
        <f>IF(Z$26,MIN($C183,MAX($C183/$C$157,$C183/(Z$26/12))),0)</f>
        <v>0</v>
      </c>
      <c r="AA183" s="84">
        <f t="shared" ref="AA183:AM183" si="138">IF(AND(AA$24-$A183&lt;$C$157,AA$26&gt;0),Z183*(AA$25/12),0)</f>
        <v>0</v>
      </c>
      <c r="AB183" s="84">
        <f t="shared" si="138"/>
        <v>0</v>
      </c>
      <c r="AC183" s="84">
        <f t="shared" si="138"/>
        <v>0</v>
      </c>
      <c r="AD183" s="84">
        <f t="shared" si="138"/>
        <v>0</v>
      </c>
      <c r="AE183" s="84">
        <f t="shared" si="138"/>
        <v>0</v>
      </c>
      <c r="AF183" s="84">
        <f t="shared" si="138"/>
        <v>0</v>
      </c>
      <c r="AG183" s="84">
        <f t="shared" si="138"/>
        <v>0</v>
      </c>
      <c r="AH183" s="84">
        <f t="shared" si="138"/>
        <v>0</v>
      </c>
      <c r="AI183" s="84">
        <f t="shared" si="138"/>
        <v>0</v>
      </c>
      <c r="AJ183" s="84">
        <f t="shared" si="138"/>
        <v>0</v>
      </c>
      <c r="AK183" s="84">
        <f t="shared" si="138"/>
        <v>0</v>
      </c>
      <c r="AL183" s="84">
        <f t="shared" si="138"/>
        <v>0</v>
      </c>
      <c r="AM183" s="84">
        <f t="shared" si="138"/>
        <v>0</v>
      </c>
      <c r="AN183" s="60"/>
      <c r="AO183" s="87">
        <f t="shared" si="114"/>
        <v>0</v>
      </c>
      <c r="AP183" s="60" t="b">
        <f t="shared" si="115"/>
        <v>1</v>
      </c>
    </row>
    <row r="184" spans="1:42" ht="12" customHeight="1" outlineLevel="1">
      <c r="A184" s="84">
        <v>24</v>
      </c>
      <c r="B184" s="60">
        <f t="shared" si="116"/>
        <v>2048</v>
      </c>
      <c r="C184" s="34">
        <v>0</v>
      </c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87">
        <f>IF(AA$26,MIN($C184,MAX($C184/$C$157,$C184/(AA$26/12))),0)</f>
        <v>0</v>
      </c>
      <c r="AB184" s="84">
        <f t="shared" ref="AB184:AM184" si="139">IF(AND(AB$24-$A184&lt;$C$157,AB$26&gt;0),AA184*(AB$25/12),0)</f>
        <v>0</v>
      </c>
      <c r="AC184" s="84">
        <f t="shared" si="139"/>
        <v>0</v>
      </c>
      <c r="AD184" s="84">
        <f t="shared" si="139"/>
        <v>0</v>
      </c>
      <c r="AE184" s="84">
        <f t="shared" si="139"/>
        <v>0</v>
      </c>
      <c r="AF184" s="84">
        <f t="shared" si="139"/>
        <v>0</v>
      </c>
      <c r="AG184" s="84">
        <f t="shared" si="139"/>
        <v>0</v>
      </c>
      <c r="AH184" s="84">
        <f t="shared" si="139"/>
        <v>0</v>
      </c>
      <c r="AI184" s="84">
        <f t="shared" si="139"/>
        <v>0</v>
      </c>
      <c r="AJ184" s="84">
        <f t="shared" si="139"/>
        <v>0</v>
      </c>
      <c r="AK184" s="84">
        <f t="shared" si="139"/>
        <v>0</v>
      </c>
      <c r="AL184" s="84">
        <f t="shared" si="139"/>
        <v>0</v>
      </c>
      <c r="AM184" s="84">
        <f t="shared" si="139"/>
        <v>0</v>
      </c>
      <c r="AN184" s="60"/>
      <c r="AO184" s="87">
        <f t="shared" si="114"/>
        <v>0</v>
      </c>
      <c r="AP184" s="60" t="b">
        <f t="shared" si="115"/>
        <v>1</v>
      </c>
    </row>
    <row r="185" spans="1:42" ht="12" customHeight="1" outlineLevel="1">
      <c r="A185" s="84">
        <v>25</v>
      </c>
      <c r="B185" s="60">
        <f t="shared" si="116"/>
        <v>2049</v>
      </c>
      <c r="C185" s="34">
        <v>0</v>
      </c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87">
        <f>IF(AB$26,MIN($C185,MAX($C185/$C$157,$C185/(AB$26/12))),0)</f>
        <v>0</v>
      </c>
      <c r="AC185" s="84">
        <f t="shared" ref="AC185:AM185" si="140">IF(AND(AC$24-$A185&lt;$C$157,AC$26&gt;0),AB185*(AC$25/12),0)</f>
        <v>0</v>
      </c>
      <c r="AD185" s="84">
        <f t="shared" si="140"/>
        <v>0</v>
      </c>
      <c r="AE185" s="84">
        <f t="shared" si="140"/>
        <v>0</v>
      </c>
      <c r="AF185" s="84">
        <f t="shared" si="140"/>
        <v>0</v>
      </c>
      <c r="AG185" s="84">
        <f t="shared" si="140"/>
        <v>0</v>
      </c>
      <c r="AH185" s="84">
        <f t="shared" si="140"/>
        <v>0</v>
      </c>
      <c r="AI185" s="84">
        <f t="shared" si="140"/>
        <v>0</v>
      </c>
      <c r="AJ185" s="84">
        <f t="shared" si="140"/>
        <v>0</v>
      </c>
      <c r="AK185" s="84">
        <f t="shared" si="140"/>
        <v>0</v>
      </c>
      <c r="AL185" s="84">
        <f t="shared" si="140"/>
        <v>0</v>
      </c>
      <c r="AM185" s="84">
        <f t="shared" si="140"/>
        <v>0</v>
      </c>
      <c r="AN185" s="60"/>
      <c r="AO185" s="87">
        <f t="shared" si="114"/>
        <v>0</v>
      </c>
      <c r="AP185" s="60" t="b">
        <f t="shared" si="115"/>
        <v>1</v>
      </c>
    </row>
    <row r="186" spans="1:42" ht="12" customHeight="1" outlineLevel="1">
      <c r="A186" s="84">
        <v>26</v>
      </c>
      <c r="B186" s="60">
        <f t="shared" si="116"/>
        <v>2050</v>
      </c>
      <c r="C186" s="34">
        <v>0</v>
      </c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87">
        <f>IF(AC$26,MIN($C186,MAX($C186/$C$157,$C186/(AC$26/12))),0)</f>
        <v>0</v>
      </c>
      <c r="AD186" s="84">
        <f t="shared" ref="AD186:AM186" si="141">IF(AND(AD$24-$A186&lt;$C$157,AD$26&gt;0),AC186*(AD$25/12),0)</f>
        <v>0</v>
      </c>
      <c r="AE186" s="84">
        <f t="shared" si="141"/>
        <v>0</v>
      </c>
      <c r="AF186" s="84">
        <f t="shared" si="141"/>
        <v>0</v>
      </c>
      <c r="AG186" s="84">
        <f t="shared" si="141"/>
        <v>0</v>
      </c>
      <c r="AH186" s="84">
        <f t="shared" si="141"/>
        <v>0</v>
      </c>
      <c r="AI186" s="84">
        <f t="shared" si="141"/>
        <v>0</v>
      </c>
      <c r="AJ186" s="84">
        <f t="shared" si="141"/>
        <v>0</v>
      </c>
      <c r="AK186" s="84">
        <f t="shared" si="141"/>
        <v>0</v>
      </c>
      <c r="AL186" s="84">
        <f t="shared" si="141"/>
        <v>0</v>
      </c>
      <c r="AM186" s="84">
        <f t="shared" si="141"/>
        <v>0</v>
      </c>
      <c r="AN186" s="60"/>
      <c r="AO186" s="87">
        <f t="shared" si="114"/>
        <v>0</v>
      </c>
      <c r="AP186" s="60" t="b">
        <f t="shared" si="115"/>
        <v>1</v>
      </c>
    </row>
    <row r="187" spans="1:42" ht="12" customHeight="1" outlineLevel="1">
      <c r="A187" s="84">
        <v>27</v>
      </c>
      <c r="B187" s="60">
        <f t="shared" si="116"/>
        <v>2051</v>
      </c>
      <c r="C187" s="34">
        <v>0</v>
      </c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87">
        <f>IF(AD$26,MIN($C187,MAX($C187/$C$157,$C187/(AD$26/12))),0)</f>
        <v>0</v>
      </c>
      <c r="AE187" s="84">
        <f t="shared" ref="AE187:AM187" si="142">IF(AND(AE$24-$A187&lt;$C$157,AE$26&gt;0),AD187*(AE$25/12),0)</f>
        <v>0</v>
      </c>
      <c r="AF187" s="84">
        <f t="shared" si="142"/>
        <v>0</v>
      </c>
      <c r="AG187" s="84">
        <f t="shared" si="142"/>
        <v>0</v>
      </c>
      <c r="AH187" s="84">
        <f t="shared" si="142"/>
        <v>0</v>
      </c>
      <c r="AI187" s="84">
        <f t="shared" si="142"/>
        <v>0</v>
      </c>
      <c r="AJ187" s="84">
        <f t="shared" si="142"/>
        <v>0</v>
      </c>
      <c r="AK187" s="84">
        <f t="shared" si="142"/>
        <v>0</v>
      </c>
      <c r="AL187" s="84">
        <f t="shared" si="142"/>
        <v>0</v>
      </c>
      <c r="AM187" s="84">
        <f t="shared" si="142"/>
        <v>0</v>
      </c>
      <c r="AN187" s="60"/>
      <c r="AO187" s="87">
        <f t="shared" si="114"/>
        <v>0</v>
      </c>
      <c r="AP187" s="60" t="b">
        <f t="shared" si="115"/>
        <v>1</v>
      </c>
    </row>
    <row r="188" spans="1:42" ht="12" customHeight="1" outlineLevel="1">
      <c r="A188" s="84">
        <v>28</v>
      </c>
      <c r="B188" s="60">
        <f t="shared" si="116"/>
        <v>2052</v>
      </c>
      <c r="C188" s="34">
        <v>0</v>
      </c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87">
        <f>IF(AE$26,MIN($C188,MAX($C188/$C$157,$C188/(AE$26/12))),0)</f>
        <v>0</v>
      </c>
      <c r="AF188" s="84">
        <f t="shared" ref="AF188:AM188" si="143">IF(AND(AF$24-$A188&lt;$C$157,AF$26&gt;0),AE188*(AF$25/12),0)</f>
        <v>0</v>
      </c>
      <c r="AG188" s="84">
        <f t="shared" si="143"/>
        <v>0</v>
      </c>
      <c r="AH188" s="84">
        <f t="shared" si="143"/>
        <v>0</v>
      </c>
      <c r="AI188" s="84">
        <f t="shared" si="143"/>
        <v>0</v>
      </c>
      <c r="AJ188" s="84">
        <f t="shared" si="143"/>
        <v>0</v>
      </c>
      <c r="AK188" s="84">
        <f t="shared" si="143"/>
        <v>0</v>
      </c>
      <c r="AL188" s="84">
        <f t="shared" si="143"/>
        <v>0</v>
      </c>
      <c r="AM188" s="84">
        <f t="shared" si="143"/>
        <v>0</v>
      </c>
      <c r="AN188" s="60"/>
      <c r="AO188" s="87">
        <f t="shared" si="114"/>
        <v>0</v>
      </c>
      <c r="AP188" s="60" t="b">
        <f t="shared" si="115"/>
        <v>1</v>
      </c>
    </row>
    <row r="189" spans="1:42" ht="12" customHeight="1" outlineLevel="1">
      <c r="A189" s="84">
        <v>29</v>
      </c>
      <c r="B189" s="60">
        <f t="shared" si="116"/>
        <v>2053</v>
      </c>
      <c r="C189" s="34">
        <v>0</v>
      </c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87">
        <f>IF(AF$26,MIN($C189,MAX($C189/$C$157,$C189/(AF$26/12))),0)</f>
        <v>0</v>
      </c>
      <c r="AG189" s="84">
        <f t="shared" ref="AG189:AM189" si="144">IF(AND(AG$24-$A189&lt;$C$157,AG$26&gt;0),AF189*(AG$25/12),0)</f>
        <v>0</v>
      </c>
      <c r="AH189" s="84">
        <f t="shared" si="144"/>
        <v>0</v>
      </c>
      <c r="AI189" s="84">
        <f t="shared" si="144"/>
        <v>0</v>
      </c>
      <c r="AJ189" s="84">
        <f t="shared" si="144"/>
        <v>0</v>
      </c>
      <c r="AK189" s="84">
        <f t="shared" si="144"/>
        <v>0</v>
      </c>
      <c r="AL189" s="84">
        <f t="shared" si="144"/>
        <v>0</v>
      </c>
      <c r="AM189" s="84">
        <f t="shared" si="144"/>
        <v>0</v>
      </c>
      <c r="AN189" s="60"/>
      <c r="AO189" s="87">
        <f t="shared" si="114"/>
        <v>0</v>
      </c>
      <c r="AP189" s="60" t="b">
        <f t="shared" si="115"/>
        <v>1</v>
      </c>
    </row>
    <row r="190" spans="1:42" ht="12" customHeight="1" outlineLevel="1">
      <c r="A190" s="84">
        <v>30</v>
      </c>
      <c r="B190" s="60">
        <f t="shared" si="116"/>
        <v>2054</v>
      </c>
      <c r="C190" s="34">
        <v>0</v>
      </c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87">
        <f>IF(AG$26,MIN($C190,MAX($C190/$C$157,$C190/(AG$26/12))),0)</f>
        <v>0</v>
      </c>
      <c r="AH190" s="84">
        <f t="shared" ref="AH190:AM190" si="145">IF(AND(AH$24-$A190&lt;$C$157,AH$26&gt;0),AG190*(AH$25/12),0)</f>
        <v>0</v>
      </c>
      <c r="AI190" s="84">
        <f t="shared" si="145"/>
        <v>0</v>
      </c>
      <c r="AJ190" s="84">
        <f t="shared" si="145"/>
        <v>0</v>
      </c>
      <c r="AK190" s="84">
        <f t="shared" si="145"/>
        <v>0</v>
      </c>
      <c r="AL190" s="84">
        <f t="shared" si="145"/>
        <v>0</v>
      </c>
      <c r="AM190" s="84">
        <f t="shared" si="145"/>
        <v>0</v>
      </c>
      <c r="AN190" s="60"/>
      <c r="AO190" s="87">
        <f t="shared" si="114"/>
        <v>0</v>
      </c>
      <c r="AP190" s="60" t="b">
        <f t="shared" si="115"/>
        <v>1</v>
      </c>
    </row>
    <row r="191" spans="1:42" ht="12" customHeight="1" outlineLevel="1">
      <c r="A191" s="84">
        <v>31</v>
      </c>
      <c r="B191" s="60">
        <f t="shared" si="116"/>
        <v>2055</v>
      </c>
      <c r="C191" s="34">
        <v>0</v>
      </c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87">
        <f>IF(AH$26,MIN($C191,MAX($C191/$C$157,$C191/(AH$26/12))),0)</f>
        <v>0</v>
      </c>
      <c r="AI191" s="84">
        <f>IF(AND(AI$24-$A191&lt;$C$157,AI$26&gt;0),AH191*(AI$25/12),0)</f>
        <v>0</v>
      </c>
      <c r="AJ191" s="84">
        <f>IF(AND(AJ$24-$A191&lt;$C$157,AJ$26&gt;0),AI191*(AJ$25/12),0)</f>
        <v>0</v>
      </c>
      <c r="AK191" s="84">
        <f>IF(AND(AK$24-$A191&lt;$C$157,AK$26&gt;0),AJ191*(AK$25/12),0)</f>
        <v>0</v>
      </c>
      <c r="AL191" s="84">
        <f>IF(AND(AL$24-$A191&lt;$C$157,AL$26&gt;0),AK191*(AL$25/12),0)</f>
        <v>0</v>
      </c>
      <c r="AM191" s="84">
        <f>IF(AND(AM$24-$A191&lt;$C$157,AM$26&gt;0),AL191*(AM$25/12),0)</f>
        <v>0</v>
      </c>
      <c r="AN191" s="60"/>
      <c r="AO191" s="87">
        <f t="shared" si="114"/>
        <v>0</v>
      </c>
      <c r="AP191" s="60" t="b">
        <f t="shared" si="115"/>
        <v>1</v>
      </c>
    </row>
    <row r="192" spans="1:42" ht="12" customHeight="1" outlineLevel="1">
      <c r="A192" s="84">
        <v>32</v>
      </c>
      <c r="B192" s="60">
        <f t="shared" si="116"/>
        <v>2056</v>
      </c>
      <c r="C192" s="34">
        <v>0</v>
      </c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87">
        <f>IF(AI$26,MIN($C192,MAX($C192/$C$157,$C192/(AI$26/12))),0)</f>
        <v>0</v>
      </c>
      <c r="AJ192" s="84">
        <f>IF(AND(AJ$24-$A192&lt;$C$157,AJ$26&gt;0),AI192*(AJ$25/12),0)</f>
        <v>0</v>
      </c>
      <c r="AK192" s="84">
        <f>IF(AND(AK$24-$A192&lt;$C$157,AK$26&gt;0),AJ192*(AK$25/12),0)</f>
        <v>0</v>
      </c>
      <c r="AL192" s="84">
        <f>IF(AND(AL$24-$A192&lt;$C$157,AL$26&gt;0),AK192*(AL$25/12),0)</f>
        <v>0</v>
      </c>
      <c r="AM192" s="84">
        <f>IF(AND(AM$24-$A192&lt;$C$157,AM$26&gt;0),AL192*(AM$25/12),0)</f>
        <v>0</v>
      </c>
      <c r="AN192" s="60"/>
      <c r="AO192" s="87">
        <f t="shared" si="114"/>
        <v>0</v>
      </c>
      <c r="AP192" s="60" t="b">
        <f t="shared" si="115"/>
        <v>1</v>
      </c>
    </row>
    <row r="193" spans="1:42" ht="12" customHeight="1" outlineLevel="1">
      <c r="A193" s="84">
        <v>33</v>
      </c>
      <c r="B193" s="60">
        <f t="shared" si="116"/>
        <v>2057</v>
      </c>
      <c r="C193" s="34">
        <v>0</v>
      </c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87">
        <f>IF(AJ$26,MIN($C193,MAX($C193/$C$157,$C193/(AJ$26/12))),0)</f>
        <v>0</v>
      </c>
      <c r="AK193" s="84">
        <f>IF(AND(AK$24-$A193&lt;$C$157,AK$26&gt;0),AJ193*(AK$25/12),0)</f>
        <v>0</v>
      </c>
      <c r="AL193" s="84">
        <f>IF(AND(AL$24-$A193&lt;$C$157,AL$26&gt;0),AK193*(AL$25/12),0)</f>
        <v>0</v>
      </c>
      <c r="AM193" s="84">
        <f>IF(AND(AM$24-$A193&lt;$C$157,AM$26&gt;0),AL193*(AM$25/12),0)</f>
        <v>0</v>
      </c>
      <c r="AN193" s="60"/>
      <c r="AO193" s="87">
        <f t="shared" si="114"/>
        <v>0</v>
      </c>
      <c r="AP193" s="60" t="b">
        <f t="shared" si="115"/>
        <v>1</v>
      </c>
    </row>
    <row r="194" spans="1:42" ht="12" customHeight="1" outlineLevel="1">
      <c r="A194" s="84">
        <v>34</v>
      </c>
      <c r="B194" s="60">
        <f t="shared" si="116"/>
        <v>2058</v>
      </c>
      <c r="C194" s="34">
        <v>0</v>
      </c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87">
        <f>IF(AK$26,MIN($C194,MAX($C194/$C$157,$C194/(AK$26/12))),0)</f>
        <v>0</v>
      </c>
      <c r="AL194" s="84">
        <f>IF(AND(AL$24-$A194&lt;$C$157,AL$26&gt;0),AK194*(AL$25/12),0)</f>
        <v>0</v>
      </c>
      <c r="AM194" s="84">
        <f>IF(AND(AM$24-$A194&lt;$C$157,AM$26&gt;0),AL194*(AM$25/12),0)</f>
        <v>0</v>
      </c>
      <c r="AN194" s="60"/>
      <c r="AO194" s="87">
        <f t="shared" si="114"/>
        <v>0</v>
      </c>
      <c r="AP194" s="60" t="b">
        <f t="shared" si="115"/>
        <v>1</v>
      </c>
    </row>
    <row r="195" spans="1:42" ht="12" customHeight="1" outlineLevel="1">
      <c r="A195" s="84">
        <v>35</v>
      </c>
      <c r="B195" s="60">
        <f t="shared" si="116"/>
        <v>2059</v>
      </c>
      <c r="C195" s="34">
        <v>0</v>
      </c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87">
        <f>IF(AL$26,MIN($C195,MAX($C195/$C$157,$C195/(AL$26/12))),0)</f>
        <v>0</v>
      </c>
      <c r="AM195" s="84">
        <f>IF(AND(AM$24-$A195&lt;$C$157,AM$26&gt;0),AL195*(AM$25/12),0)</f>
        <v>0</v>
      </c>
      <c r="AN195" s="60"/>
      <c r="AO195" s="87">
        <f t="shared" si="114"/>
        <v>0</v>
      </c>
      <c r="AP195" s="60" t="b">
        <f t="shared" si="115"/>
        <v>1</v>
      </c>
    </row>
    <row r="196" spans="1:42" ht="12" customHeight="1" outlineLevel="1">
      <c r="A196" s="128">
        <v>36</v>
      </c>
      <c r="B196" s="129">
        <f t="shared" si="116"/>
        <v>2060</v>
      </c>
      <c r="C196" s="130">
        <v>0</v>
      </c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31"/>
      <c r="AM196" s="131">
        <f>IF(AM$26,MIN($C196,MAX($C196/$C$157,$C196/(AM$26/12))),0)</f>
        <v>0</v>
      </c>
      <c r="AN196" s="60"/>
      <c r="AO196" s="131">
        <f t="shared" si="114"/>
        <v>0</v>
      </c>
      <c r="AP196" s="129" t="b">
        <f t="shared" si="115"/>
        <v>1</v>
      </c>
    </row>
    <row r="197" spans="1:42" ht="12" customHeight="1">
      <c r="A197" s="84"/>
      <c r="B197" s="60"/>
      <c r="C197" s="132">
        <f>SUM(C161:C195)</f>
        <v>0</v>
      </c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87">
        <f>SUM(AO161:AO196)</f>
        <v>0</v>
      </c>
      <c r="AP197" s="60" t="b">
        <f t="shared" si="115"/>
        <v>1</v>
      </c>
    </row>
    <row r="198" spans="1:42" ht="12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</row>
    <row r="199" spans="1:42" ht="12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</row>
    <row r="200" spans="1:42" ht="12" customHeight="1">
      <c r="A200" s="60"/>
      <c r="B200" s="60"/>
      <c r="C200" s="121" t="s">
        <v>458</v>
      </c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</row>
    <row r="201" spans="1:42" ht="12" customHeight="1">
      <c r="A201" s="60"/>
      <c r="B201" s="60"/>
      <c r="C201" s="122">
        <v>25</v>
      </c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</row>
    <row r="202" spans="1:42" ht="12" customHeight="1">
      <c r="A202" s="60"/>
      <c r="B202" s="60"/>
      <c r="C202" s="121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</row>
    <row r="203" spans="1:42" ht="12" customHeight="1">
      <c r="A203" s="123"/>
      <c r="B203" s="124" t="s">
        <v>459</v>
      </c>
      <c r="C203" s="125"/>
      <c r="D203" s="119">
        <f>SUMIF(CAPEX!$B$12:$B$16,Amt!$C$201,CAPEX!E$12:E$16)</f>
        <v>0</v>
      </c>
      <c r="E203" s="119">
        <f>SUMIF(CAPEX!$B$12:$B$16,Amt!$C$201,CAPEX!F$12:F$16)</f>
        <v>0</v>
      </c>
      <c r="F203" s="119">
        <f>SUMIF(CAPEX!$B$12:$B$16,Amt!$C$201,CAPEX!G$12:G$16)</f>
        <v>0</v>
      </c>
      <c r="G203" s="119">
        <f>SUMIF(CAPEX!$B$12:$B$16,Amt!$C$201,CAPEX!H$12:H$16)</f>
        <v>0</v>
      </c>
      <c r="H203" s="119">
        <f>SUMIF(CAPEX!$B$12:$B$16,Amt!$C$201,CAPEX!I$12:I$16)</f>
        <v>0</v>
      </c>
      <c r="I203" s="119">
        <f>SUMIF(CAPEX!$B$12:$B$16,Amt!$C$201,CAPEX!J$12:J$16)</f>
        <v>0</v>
      </c>
      <c r="J203" s="119">
        <f>SUMIF(CAPEX!$B$12:$B$16,Amt!$C$201,CAPEX!K$12:K$16)</f>
        <v>0</v>
      </c>
      <c r="K203" s="119">
        <f>SUMIF(CAPEX!$B$12:$B$16,Amt!$C$201,CAPEX!L$12:L$16)</f>
        <v>0</v>
      </c>
      <c r="L203" s="119">
        <f>SUMIF(CAPEX!$B$12:$B$16,Amt!$C$201,CAPEX!M$12:M$16)</f>
        <v>0</v>
      </c>
      <c r="M203" s="119">
        <f>SUMIF(CAPEX!$B$12:$B$16,Amt!$C$201,CAPEX!N$12:N$16)</f>
        <v>0</v>
      </c>
      <c r="N203" s="119">
        <f>SUMIF(CAPEX!$B$12:$B$16,Amt!$C$201,CAPEX!O$12:O$16)</f>
        <v>0</v>
      </c>
      <c r="O203" s="119">
        <f>SUMIF(CAPEX!$B$12:$B$16,Amt!$C$201,CAPEX!P$12:P$16)</f>
        <v>0</v>
      </c>
      <c r="P203" s="119">
        <f>SUMIF(CAPEX!$B$12:$B$16,Amt!$C$201,CAPEX!Q$12:Q$16)</f>
        <v>0</v>
      </c>
      <c r="Q203" s="119">
        <f>SUMIF(CAPEX!$B$12:$B$16,Amt!$C$201,CAPEX!R$12:R$16)</f>
        <v>0</v>
      </c>
      <c r="R203" s="119">
        <f>SUMIF(CAPEX!$B$12:$B$16,Amt!$C$201,CAPEX!S$12:S$16)</f>
        <v>0</v>
      </c>
      <c r="S203" s="119">
        <f>SUMIF(CAPEX!$B$12:$B$16,Amt!$C$201,CAPEX!T$12:T$16)</f>
        <v>0</v>
      </c>
      <c r="T203" s="119">
        <f>SUMIF(CAPEX!$B$12:$B$16,Amt!$C$201,CAPEX!U$12:U$16)</f>
        <v>0</v>
      </c>
      <c r="U203" s="119">
        <f>SUMIF(CAPEX!$B$12:$B$16,Amt!$C$201,CAPEX!V$12:V$16)</f>
        <v>0</v>
      </c>
      <c r="V203" s="119">
        <f>SUMIF(CAPEX!$B$12:$B$16,Amt!$C$201,CAPEX!W$12:W$16)</f>
        <v>0</v>
      </c>
      <c r="W203" s="119">
        <f>SUMIF(CAPEX!$B$12:$B$16,Amt!$C$201,CAPEX!X$12:X$16)</f>
        <v>0</v>
      </c>
      <c r="X203" s="119">
        <f>SUMIF(CAPEX!$B$12:$B$16,Amt!$C$201,CAPEX!Y$12:Y$16)</f>
        <v>0</v>
      </c>
      <c r="Y203" s="119">
        <f>SUMIF(CAPEX!$B$12:$B$16,Amt!$C$201,CAPEX!Z$12:Z$16)</f>
        <v>0</v>
      </c>
      <c r="Z203" s="119">
        <f>SUMIF(CAPEX!$B$12:$B$16,Amt!$C$201,CAPEX!AA$12:AA$16)</f>
        <v>0</v>
      </c>
      <c r="AA203" s="119">
        <f>SUMIF(CAPEX!$B$12:$B$16,Amt!$C$201,CAPEX!AB$12:AB$16)</f>
        <v>0</v>
      </c>
      <c r="AB203" s="119">
        <f>SUMIF(CAPEX!$B$12:$B$16,Amt!$C$201,CAPEX!AC$12:AC$16)</f>
        <v>0</v>
      </c>
      <c r="AC203" s="119">
        <f>SUMIF(CAPEX!$B$12:$B$16,Amt!$C$201,CAPEX!AD$12:AD$16)</f>
        <v>0</v>
      </c>
      <c r="AD203" s="119">
        <f>SUMIF(CAPEX!$B$12:$B$16,Amt!$C$201,CAPEX!AE$12:AE$16)</f>
        <v>0</v>
      </c>
      <c r="AE203" s="119">
        <f>SUMIF(CAPEX!$B$12:$B$16,Amt!$C$201,CAPEX!AF$12:AF$16)</f>
        <v>0</v>
      </c>
      <c r="AF203" s="119">
        <f>SUMIF(CAPEX!$B$12:$B$16,Amt!$C$201,CAPEX!AG$12:AG$16)</f>
        <v>0</v>
      </c>
      <c r="AG203" s="119">
        <f>SUMIF(CAPEX!$B$12:$B$16,Amt!$C$201,CAPEX!AH$12:AH$16)</f>
        <v>0</v>
      </c>
      <c r="AH203" s="119">
        <f>SUMIF(CAPEX!$B$12:$B$16,Amt!$C$201,CAPEX!AI$12:AI$16)</f>
        <v>0</v>
      </c>
      <c r="AI203" s="119">
        <f>SUMIF(CAPEX!$B$12:$B$16,Amt!$C$201,CAPEX!AJ$12:AJ$16)</f>
        <v>0</v>
      </c>
      <c r="AJ203" s="119">
        <f>SUMIF(CAPEX!$B$12:$B$16,Amt!$C$201,CAPEX!AK$12:AK$16)</f>
        <v>0</v>
      </c>
      <c r="AK203" s="119">
        <f>SUMIF(CAPEX!$B$12:$B$16,Amt!$C$201,CAPEX!AL$12:AL$16)</f>
        <v>0</v>
      </c>
      <c r="AL203" s="119">
        <f>SUMIF(CAPEX!$B$12:$B$16,Amt!$C$201,CAPEX!AM$12:AM$16)</f>
        <v>0</v>
      </c>
      <c r="AM203" s="119">
        <f>SUMIF(CAPEX!$B$12:$B$16,Amt!$C$201,CAPEX!AN$12:AN$16)</f>
        <v>0</v>
      </c>
      <c r="AN203" s="60"/>
      <c r="AO203" s="60"/>
      <c r="AP203" s="60"/>
    </row>
    <row r="204" spans="1:42" ht="12" customHeight="1">
      <c r="A204" s="60"/>
      <c r="B204" s="124" t="s">
        <v>124</v>
      </c>
      <c r="C204" s="125"/>
      <c r="D204" s="119">
        <f t="shared" ref="D204:AM204" si="146">SUM(D205:D239)</f>
        <v>0</v>
      </c>
      <c r="E204" s="119">
        <f t="shared" si="146"/>
        <v>0</v>
      </c>
      <c r="F204" s="119">
        <f t="shared" si="146"/>
        <v>0</v>
      </c>
      <c r="G204" s="119">
        <f t="shared" si="146"/>
        <v>0</v>
      </c>
      <c r="H204" s="119">
        <f t="shared" si="146"/>
        <v>0</v>
      </c>
      <c r="I204" s="119">
        <f t="shared" si="146"/>
        <v>0</v>
      </c>
      <c r="J204" s="119">
        <f t="shared" si="146"/>
        <v>0</v>
      </c>
      <c r="K204" s="119">
        <f t="shared" si="146"/>
        <v>0</v>
      </c>
      <c r="L204" s="119">
        <f t="shared" si="146"/>
        <v>0</v>
      </c>
      <c r="M204" s="119">
        <f t="shared" si="146"/>
        <v>0</v>
      </c>
      <c r="N204" s="119">
        <f t="shared" si="146"/>
        <v>0</v>
      </c>
      <c r="O204" s="119">
        <f t="shared" si="146"/>
        <v>0</v>
      </c>
      <c r="P204" s="119">
        <f t="shared" si="146"/>
        <v>0</v>
      </c>
      <c r="Q204" s="119">
        <f t="shared" si="146"/>
        <v>0</v>
      </c>
      <c r="R204" s="119">
        <f t="shared" si="146"/>
        <v>0</v>
      </c>
      <c r="S204" s="119">
        <f t="shared" si="146"/>
        <v>0</v>
      </c>
      <c r="T204" s="119">
        <f t="shared" si="146"/>
        <v>0</v>
      </c>
      <c r="U204" s="119">
        <f t="shared" si="146"/>
        <v>0</v>
      </c>
      <c r="V204" s="119">
        <f t="shared" si="146"/>
        <v>0</v>
      </c>
      <c r="W204" s="119">
        <f t="shared" si="146"/>
        <v>0</v>
      </c>
      <c r="X204" s="119">
        <f t="shared" si="146"/>
        <v>0</v>
      </c>
      <c r="Y204" s="119">
        <f t="shared" si="146"/>
        <v>0</v>
      </c>
      <c r="Z204" s="119">
        <f t="shared" si="146"/>
        <v>0</v>
      </c>
      <c r="AA204" s="119">
        <f t="shared" si="146"/>
        <v>0</v>
      </c>
      <c r="AB204" s="119">
        <f t="shared" si="146"/>
        <v>0</v>
      </c>
      <c r="AC204" s="119">
        <f t="shared" si="146"/>
        <v>0</v>
      </c>
      <c r="AD204" s="119">
        <f t="shared" si="146"/>
        <v>0</v>
      </c>
      <c r="AE204" s="119">
        <f t="shared" si="146"/>
        <v>0</v>
      </c>
      <c r="AF204" s="119">
        <f t="shared" si="146"/>
        <v>0</v>
      </c>
      <c r="AG204" s="119">
        <f t="shared" si="146"/>
        <v>0</v>
      </c>
      <c r="AH204" s="119">
        <f t="shared" si="146"/>
        <v>0</v>
      </c>
      <c r="AI204" s="119">
        <f t="shared" si="146"/>
        <v>0</v>
      </c>
      <c r="AJ204" s="119">
        <f t="shared" si="146"/>
        <v>0</v>
      </c>
      <c r="AK204" s="119">
        <f t="shared" si="146"/>
        <v>0</v>
      </c>
      <c r="AL204" s="119">
        <f t="shared" si="146"/>
        <v>0</v>
      </c>
      <c r="AM204" s="119">
        <f t="shared" si="146"/>
        <v>0</v>
      </c>
      <c r="AN204" s="60"/>
      <c r="AO204" s="60"/>
      <c r="AP204" s="60"/>
    </row>
    <row r="205" spans="1:42" ht="12" customHeight="1" outlineLevel="1">
      <c r="A205" s="84">
        <v>1</v>
      </c>
      <c r="B205" s="60">
        <f>$D$1</f>
        <v>2025</v>
      </c>
      <c r="C205" s="34">
        <f t="array" ref="C205:C240">TRANSPOSE(D203:AM203)</f>
        <v>0</v>
      </c>
      <c r="D205" s="87">
        <f>IF(D$26,MIN($C205,MAX($C205/$C$201,$C205/(D$26/12))),0)</f>
        <v>0</v>
      </c>
      <c r="E205" s="84">
        <f t="shared" ref="E205:AM205" si="147">IF(AND(E$24-$A205&lt;$C$201,E$26&gt;0),D205*(E$25/12),0)</f>
        <v>0</v>
      </c>
      <c r="F205" s="84">
        <f t="shared" si="147"/>
        <v>0</v>
      </c>
      <c r="G205" s="84">
        <f t="shared" si="147"/>
        <v>0</v>
      </c>
      <c r="H205" s="84">
        <f t="shared" si="147"/>
        <v>0</v>
      </c>
      <c r="I205" s="84">
        <f t="shared" si="147"/>
        <v>0</v>
      </c>
      <c r="J205" s="84">
        <f t="shared" si="147"/>
        <v>0</v>
      </c>
      <c r="K205" s="84">
        <f t="shared" si="147"/>
        <v>0</v>
      </c>
      <c r="L205" s="84">
        <f t="shared" si="147"/>
        <v>0</v>
      </c>
      <c r="M205" s="84">
        <f t="shared" si="147"/>
        <v>0</v>
      </c>
      <c r="N205" s="84">
        <f t="shared" si="147"/>
        <v>0</v>
      </c>
      <c r="O205" s="84">
        <f t="shared" si="147"/>
        <v>0</v>
      </c>
      <c r="P205" s="84">
        <f t="shared" si="147"/>
        <v>0</v>
      </c>
      <c r="Q205" s="84">
        <f t="shared" si="147"/>
        <v>0</v>
      </c>
      <c r="R205" s="84">
        <f t="shared" si="147"/>
        <v>0</v>
      </c>
      <c r="S205" s="84">
        <f t="shared" si="147"/>
        <v>0</v>
      </c>
      <c r="T205" s="84">
        <f t="shared" si="147"/>
        <v>0</v>
      </c>
      <c r="U205" s="84">
        <f t="shared" si="147"/>
        <v>0</v>
      </c>
      <c r="V205" s="84">
        <f t="shared" si="147"/>
        <v>0</v>
      </c>
      <c r="W205" s="84">
        <f t="shared" si="147"/>
        <v>0</v>
      </c>
      <c r="X205" s="84">
        <f t="shared" si="147"/>
        <v>0</v>
      </c>
      <c r="Y205" s="84">
        <f t="shared" si="147"/>
        <v>0</v>
      </c>
      <c r="Z205" s="84">
        <f t="shared" si="147"/>
        <v>0</v>
      </c>
      <c r="AA205" s="84">
        <f t="shared" si="147"/>
        <v>0</v>
      </c>
      <c r="AB205" s="84">
        <f t="shared" si="147"/>
        <v>0</v>
      </c>
      <c r="AC205" s="84">
        <f t="shared" si="147"/>
        <v>0</v>
      </c>
      <c r="AD205" s="84">
        <f t="shared" si="147"/>
        <v>0</v>
      </c>
      <c r="AE205" s="84">
        <f t="shared" si="147"/>
        <v>0</v>
      </c>
      <c r="AF205" s="84">
        <f t="shared" si="147"/>
        <v>0</v>
      </c>
      <c r="AG205" s="84">
        <f t="shared" si="147"/>
        <v>0</v>
      </c>
      <c r="AH205" s="84">
        <f t="shared" si="147"/>
        <v>0</v>
      </c>
      <c r="AI205" s="84">
        <f t="shared" si="147"/>
        <v>0</v>
      </c>
      <c r="AJ205" s="84">
        <f t="shared" si="147"/>
        <v>0</v>
      </c>
      <c r="AK205" s="84">
        <f t="shared" si="147"/>
        <v>0</v>
      </c>
      <c r="AL205" s="84">
        <f t="shared" si="147"/>
        <v>0</v>
      </c>
      <c r="AM205" s="84">
        <f t="shared" si="147"/>
        <v>0</v>
      </c>
      <c r="AN205" s="60"/>
      <c r="AO205" s="126">
        <f t="shared" ref="AO205:AO240" si="148">SUM(D205:AM205)</f>
        <v>0</v>
      </c>
      <c r="AP205" s="127" t="b">
        <f t="shared" ref="AP205:AP241" si="149">AO205=C205</f>
        <v>1</v>
      </c>
    </row>
    <row r="206" spans="1:42" ht="12" customHeight="1" outlineLevel="1">
      <c r="A206" s="84">
        <v>2</v>
      </c>
      <c r="B206" s="60">
        <f t="shared" ref="B206:B240" si="150">B205+1</f>
        <v>2026</v>
      </c>
      <c r="C206" s="34">
        <v>0</v>
      </c>
      <c r="D206" s="60"/>
      <c r="E206" s="87">
        <f>IF(E$26,MIN($C206,MAX($C206/$C$201,$C206/(E$26/12))),0)</f>
        <v>0</v>
      </c>
      <c r="F206" s="84">
        <f t="shared" ref="F206:AM206" si="151">IF(AND(F$24-$A206&lt;$C$201,F$26&gt;0),E206*(F$25/12),0)</f>
        <v>0</v>
      </c>
      <c r="G206" s="84">
        <f t="shared" si="151"/>
        <v>0</v>
      </c>
      <c r="H206" s="84">
        <f t="shared" si="151"/>
        <v>0</v>
      </c>
      <c r="I206" s="84">
        <f t="shared" si="151"/>
        <v>0</v>
      </c>
      <c r="J206" s="84">
        <f t="shared" si="151"/>
        <v>0</v>
      </c>
      <c r="K206" s="84">
        <f t="shared" si="151"/>
        <v>0</v>
      </c>
      <c r="L206" s="84">
        <f t="shared" si="151"/>
        <v>0</v>
      </c>
      <c r="M206" s="84">
        <f t="shared" si="151"/>
        <v>0</v>
      </c>
      <c r="N206" s="84">
        <f t="shared" si="151"/>
        <v>0</v>
      </c>
      <c r="O206" s="84">
        <f t="shared" si="151"/>
        <v>0</v>
      </c>
      <c r="P206" s="84">
        <f t="shared" si="151"/>
        <v>0</v>
      </c>
      <c r="Q206" s="84">
        <f t="shared" si="151"/>
        <v>0</v>
      </c>
      <c r="R206" s="84">
        <f t="shared" si="151"/>
        <v>0</v>
      </c>
      <c r="S206" s="84">
        <f t="shared" si="151"/>
        <v>0</v>
      </c>
      <c r="T206" s="84">
        <f t="shared" si="151"/>
        <v>0</v>
      </c>
      <c r="U206" s="84">
        <f t="shared" si="151"/>
        <v>0</v>
      </c>
      <c r="V206" s="84">
        <f t="shared" si="151"/>
        <v>0</v>
      </c>
      <c r="W206" s="84">
        <f t="shared" si="151"/>
        <v>0</v>
      </c>
      <c r="X206" s="84">
        <f t="shared" si="151"/>
        <v>0</v>
      </c>
      <c r="Y206" s="84">
        <f t="shared" si="151"/>
        <v>0</v>
      </c>
      <c r="Z206" s="84">
        <f t="shared" si="151"/>
        <v>0</v>
      </c>
      <c r="AA206" s="84">
        <f t="shared" si="151"/>
        <v>0</v>
      </c>
      <c r="AB206" s="84">
        <f t="shared" si="151"/>
        <v>0</v>
      </c>
      <c r="AC206" s="84">
        <f t="shared" si="151"/>
        <v>0</v>
      </c>
      <c r="AD206" s="84">
        <f t="shared" si="151"/>
        <v>0</v>
      </c>
      <c r="AE206" s="84">
        <f t="shared" si="151"/>
        <v>0</v>
      </c>
      <c r="AF206" s="84">
        <f t="shared" si="151"/>
        <v>0</v>
      </c>
      <c r="AG206" s="84">
        <f t="shared" si="151"/>
        <v>0</v>
      </c>
      <c r="AH206" s="84">
        <f t="shared" si="151"/>
        <v>0</v>
      </c>
      <c r="AI206" s="84">
        <f t="shared" si="151"/>
        <v>0</v>
      </c>
      <c r="AJ206" s="84">
        <f t="shared" si="151"/>
        <v>0</v>
      </c>
      <c r="AK206" s="84">
        <f t="shared" si="151"/>
        <v>0</v>
      </c>
      <c r="AL206" s="84">
        <f t="shared" si="151"/>
        <v>0</v>
      </c>
      <c r="AM206" s="84">
        <f t="shared" si="151"/>
        <v>0</v>
      </c>
      <c r="AN206" s="60"/>
      <c r="AO206" s="87">
        <f t="shared" si="148"/>
        <v>0</v>
      </c>
      <c r="AP206" s="60" t="b">
        <f t="shared" si="149"/>
        <v>1</v>
      </c>
    </row>
    <row r="207" spans="1:42" ht="12" customHeight="1" outlineLevel="1">
      <c r="A207" s="84">
        <v>3</v>
      </c>
      <c r="B207" s="60">
        <f t="shared" si="150"/>
        <v>2027</v>
      </c>
      <c r="C207" s="34">
        <v>0</v>
      </c>
      <c r="D207" s="60"/>
      <c r="E207" s="60"/>
      <c r="F207" s="87">
        <f>IF(F$26,MIN($C207,MAX($C207/$C$201,$C207/(F$26/12))),0)</f>
        <v>0</v>
      </c>
      <c r="G207" s="84">
        <f t="shared" ref="G207:AM207" si="152">IF(AND(G$24-$A207&lt;$C$201,G$26&gt;0),F207*(G$25/12),0)</f>
        <v>0</v>
      </c>
      <c r="H207" s="84">
        <f t="shared" si="152"/>
        <v>0</v>
      </c>
      <c r="I207" s="84">
        <f t="shared" si="152"/>
        <v>0</v>
      </c>
      <c r="J207" s="84">
        <f t="shared" si="152"/>
        <v>0</v>
      </c>
      <c r="K207" s="84">
        <f t="shared" si="152"/>
        <v>0</v>
      </c>
      <c r="L207" s="84">
        <f t="shared" si="152"/>
        <v>0</v>
      </c>
      <c r="M207" s="84">
        <f t="shared" si="152"/>
        <v>0</v>
      </c>
      <c r="N207" s="84">
        <f t="shared" si="152"/>
        <v>0</v>
      </c>
      <c r="O207" s="84">
        <f t="shared" si="152"/>
        <v>0</v>
      </c>
      <c r="P207" s="84">
        <f t="shared" si="152"/>
        <v>0</v>
      </c>
      <c r="Q207" s="84">
        <f t="shared" si="152"/>
        <v>0</v>
      </c>
      <c r="R207" s="84">
        <f t="shared" si="152"/>
        <v>0</v>
      </c>
      <c r="S207" s="84">
        <f t="shared" si="152"/>
        <v>0</v>
      </c>
      <c r="T207" s="84">
        <f t="shared" si="152"/>
        <v>0</v>
      </c>
      <c r="U207" s="84">
        <f t="shared" si="152"/>
        <v>0</v>
      </c>
      <c r="V207" s="84">
        <f t="shared" si="152"/>
        <v>0</v>
      </c>
      <c r="W207" s="84">
        <f t="shared" si="152"/>
        <v>0</v>
      </c>
      <c r="X207" s="84">
        <f t="shared" si="152"/>
        <v>0</v>
      </c>
      <c r="Y207" s="84">
        <f t="shared" si="152"/>
        <v>0</v>
      </c>
      <c r="Z207" s="84">
        <f t="shared" si="152"/>
        <v>0</v>
      </c>
      <c r="AA207" s="84">
        <f t="shared" si="152"/>
        <v>0</v>
      </c>
      <c r="AB207" s="84">
        <f t="shared" si="152"/>
        <v>0</v>
      </c>
      <c r="AC207" s="84">
        <f t="shared" si="152"/>
        <v>0</v>
      </c>
      <c r="AD207" s="84">
        <f t="shared" si="152"/>
        <v>0</v>
      </c>
      <c r="AE207" s="84">
        <f t="shared" si="152"/>
        <v>0</v>
      </c>
      <c r="AF207" s="84">
        <f t="shared" si="152"/>
        <v>0</v>
      </c>
      <c r="AG207" s="84">
        <f t="shared" si="152"/>
        <v>0</v>
      </c>
      <c r="AH207" s="84">
        <f t="shared" si="152"/>
        <v>0</v>
      </c>
      <c r="AI207" s="84">
        <f t="shared" si="152"/>
        <v>0</v>
      </c>
      <c r="AJ207" s="84">
        <f t="shared" si="152"/>
        <v>0</v>
      </c>
      <c r="AK207" s="84">
        <f t="shared" si="152"/>
        <v>0</v>
      </c>
      <c r="AL207" s="84">
        <f t="shared" si="152"/>
        <v>0</v>
      </c>
      <c r="AM207" s="84">
        <f t="shared" si="152"/>
        <v>0</v>
      </c>
      <c r="AN207" s="60"/>
      <c r="AO207" s="87">
        <f t="shared" si="148"/>
        <v>0</v>
      </c>
      <c r="AP207" s="60" t="b">
        <f t="shared" si="149"/>
        <v>1</v>
      </c>
    </row>
    <row r="208" spans="1:42" ht="12" customHeight="1" outlineLevel="1">
      <c r="A208" s="84">
        <v>4</v>
      </c>
      <c r="B208" s="60">
        <f t="shared" si="150"/>
        <v>2028</v>
      </c>
      <c r="C208" s="34">
        <v>0</v>
      </c>
      <c r="D208" s="60"/>
      <c r="E208" s="60"/>
      <c r="F208" s="60"/>
      <c r="G208" s="87">
        <f>IF(G$26,MIN($C208,MAX($C208/$C$201,$C208/(G$26/12))),0)</f>
        <v>0</v>
      </c>
      <c r="H208" s="84">
        <f t="shared" ref="H208:AM208" si="153">IF(AND(H$24-$A208&lt;$C$201,H$26&gt;0),G208*(H$25/12),0)</f>
        <v>0</v>
      </c>
      <c r="I208" s="84">
        <f t="shared" si="153"/>
        <v>0</v>
      </c>
      <c r="J208" s="84">
        <f t="shared" si="153"/>
        <v>0</v>
      </c>
      <c r="K208" s="84">
        <f t="shared" si="153"/>
        <v>0</v>
      </c>
      <c r="L208" s="84">
        <f t="shared" si="153"/>
        <v>0</v>
      </c>
      <c r="M208" s="84">
        <f t="shared" si="153"/>
        <v>0</v>
      </c>
      <c r="N208" s="84">
        <f t="shared" si="153"/>
        <v>0</v>
      </c>
      <c r="O208" s="84">
        <f t="shared" si="153"/>
        <v>0</v>
      </c>
      <c r="P208" s="84">
        <f t="shared" si="153"/>
        <v>0</v>
      </c>
      <c r="Q208" s="84">
        <f t="shared" si="153"/>
        <v>0</v>
      </c>
      <c r="R208" s="84">
        <f t="shared" si="153"/>
        <v>0</v>
      </c>
      <c r="S208" s="84">
        <f t="shared" si="153"/>
        <v>0</v>
      </c>
      <c r="T208" s="84">
        <f t="shared" si="153"/>
        <v>0</v>
      </c>
      <c r="U208" s="84">
        <f t="shared" si="153"/>
        <v>0</v>
      </c>
      <c r="V208" s="84">
        <f t="shared" si="153"/>
        <v>0</v>
      </c>
      <c r="W208" s="84">
        <f t="shared" si="153"/>
        <v>0</v>
      </c>
      <c r="X208" s="84">
        <f t="shared" si="153"/>
        <v>0</v>
      </c>
      <c r="Y208" s="84">
        <f t="shared" si="153"/>
        <v>0</v>
      </c>
      <c r="Z208" s="84">
        <f t="shared" si="153"/>
        <v>0</v>
      </c>
      <c r="AA208" s="84">
        <f t="shared" si="153"/>
        <v>0</v>
      </c>
      <c r="AB208" s="84">
        <f t="shared" si="153"/>
        <v>0</v>
      </c>
      <c r="AC208" s="84">
        <f t="shared" si="153"/>
        <v>0</v>
      </c>
      <c r="AD208" s="84">
        <f t="shared" si="153"/>
        <v>0</v>
      </c>
      <c r="AE208" s="84">
        <f t="shared" si="153"/>
        <v>0</v>
      </c>
      <c r="AF208" s="84">
        <f t="shared" si="153"/>
        <v>0</v>
      </c>
      <c r="AG208" s="84">
        <f t="shared" si="153"/>
        <v>0</v>
      </c>
      <c r="AH208" s="84">
        <f t="shared" si="153"/>
        <v>0</v>
      </c>
      <c r="AI208" s="84">
        <f t="shared" si="153"/>
        <v>0</v>
      </c>
      <c r="AJ208" s="84">
        <f t="shared" si="153"/>
        <v>0</v>
      </c>
      <c r="AK208" s="84">
        <f t="shared" si="153"/>
        <v>0</v>
      </c>
      <c r="AL208" s="84">
        <f t="shared" si="153"/>
        <v>0</v>
      </c>
      <c r="AM208" s="84">
        <f t="shared" si="153"/>
        <v>0</v>
      </c>
      <c r="AN208" s="60"/>
      <c r="AO208" s="87">
        <f t="shared" si="148"/>
        <v>0</v>
      </c>
      <c r="AP208" s="60" t="b">
        <f t="shared" si="149"/>
        <v>1</v>
      </c>
    </row>
    <row r="209" spans="1:42" ht="12" customHeight="1" outlineLevel="1">
      <c r="A209" s="84">
        <v>5</v>
      </c>
      <c r="B209" s="60">
        <f t="shared" si="150"/>
        <v>2029</v>
      </c>
      <c r="C209" s="34">
        <v>0</v>
      </c>
      <c r="D209" s="60"/>
      <c r="E209" s="60"/>
      <c r="F209" s="60"/>
      <c r="G209" s="60"/>
      <c r="H209" s="87">
        <f>IF(H$26,MIN($C209,MAX($C209/$C$201,$C209/(H$26/12))),0)</f>
        <v>0</v>
      </c>
      <c r="I209" s="84">
        <f t="shared" ref="I209:AM209" si="154">IF(AND(I$24-$A209&lt;$C$201,I$26&gt;0),H209*(I$25/12),0)</f>
        <v>0</v>
      </c>
      <c r="J209" s="84">
        <f t="shared" si="154"/>
        <v>0</v>
      </c>
      <c r="K209" s="84">
        <f t="shared" si="154"/>
        <v>0</v>
      </c>
      <c r="L209" s="84">
        <f t="shared" si="154"/>
        <v>0</v>
      </c>
      <c r="M209" s="84">
        <f t="shared" si="154"/>
        <v>0</v>
      </c>
      <c r="N209" s="84">
        <f t="shared" si="154"/>
        <v>0</v>
      </c>
      <c r="O209" s="84">
        <f t="shared" si="154"/>
        <v>0</v>
      </c>
      <c r="P209" s="84">
        <f t="shared" si="154"/>
        <v>0</v>
      </c>
      <c r="Q209" s="84">
        <f t="shared" si="154"/>
        <v>0</v>
      </c>
      <c r="R209" s="84">
        <f t="shared" si="154"/>
        <v>0</v>
      </c>
      <c r="S209" s="84">
        <f t="shared" si="154"/>
        <v>0</v>
      </c>
      <c r="T209" s="84">
        <f t="shared" si="154"/>
        <v>0</v>
      </c>
      <c r="U209" s="84">
        <f t="shared" si="154"/>
        <v>0</v>
      </c>
      <c r="V209" s="84">
        <f t="shared" si="154"/>
        <v>0</v>
      </c>
      <c r="W209" s="84">
        <f t="shared" si="154"/>
        <v>0</v>
      </c>
      <c r="X209" s="84">
        <f t="shared" si="154"/>
        <v>0</v>
      </c>
      <c r="Y209" s="84">
        <f t="shared" si="154"/>
        <v>0</v>
      </c>
      <c r="Z209" s="84">
        <f t="shared" si="154"/>
        <v>0</v>
      </c>
      <c r="AA209" s="84">
        <f t="shared" si="154"/>
        <v>0</v>
      </c>
      <c r="AB209" s="84">
        <f t="shared" si="154"/>
        <v>0</v>
      </c>
      <c r="AC209" s="84">
        <f t="shared" si="154"/>
        <v>0</v>
      </c>
      <c r="AD209" s="84">
        <f t="shared" si="154"/>
        <v>0</v>
      </c>
      <c r="AE209" s="84">
        <f t="shared" si="154"/>
        <v>0</v>
      </c>
      <c r="AF209" s="84">
        <f t="shared" si="154"/>
        <v>0</v>
      </c>
      <c r="AG209" s="84">
        <f t="shared" si="154"/>
        <v>0</v>
      </c>
      <c r="AH209" s="84">
        <f t="shared" si="154"/>
        <v>0</v>
      </c>
      <c r="AI209" s="84">
        <f t="shared" si="154"/>
        <v>0</v>
      </c>
      <c r="AJ209" s="84">
        <f t="shared" si="154"/>
        <v>0</v>
      </c>
      <c r="AK209" s="84">
        <f t="shared" si="154"/>
        <v>0</v>
      </c>
      <c r="AL209" s="84">
        <f t="shared" si="154"/>
        <v>0</v>
      </c>
      <c r="AM209" s="84">
        <f t="shared" si="154"/>
        <v>0</v>
      </c>
      <c r="AN209" s="60"/>
      <c r="AO209" s="87">
        <f t="shared" si="148"/>
        <v>0</v>
      </c>
      <c r="AP209" s="60" t="b">
        <f t="shared" si="149"/>
        <v>1</v>
      </c>
    </row>
    <row r="210" spans="1:42" ht="12" customHeight="1" outlineLevel="1">
      <c r="A210" s="84">
        <v>6</v>
      </c>
      <c r="B210" s="60">
        <f t="shared" si="150"/>
        <v>2030</v>
      </c>
      <c r="C210" s="34">
        <v>0</v>
      </c>
      <c r="D210" s="60"/>
      <c r="E210" s="60"/>
      <c r="F210" s="60"/>
      <c r="G210" s="60"/>
      <c r="H210" s="60"/>
      <c r="I210" s="87">
        <f>IF(I$26,MIN($C210,MAX($C210/$C$201,$C210/(I$26/12))),0)</f>
        <v>0</v>
      </c>
      <c r="J210" s="84">
        <f t="shared" ref="J210:AM210" si="155">IF(AND(J$24-$A210&lt;$C$201,J$26&gt;0),I210*(J$25/12),0)</f>
        <v>0</v>
      </c>
      <c r="K210" s="84">
        <f t="shared" si="155"/>
        <v>0</v>
      </c>
      <c r="L210" s="84">
        <f t="shared" si="155"/>
        <v>0</v>
      </c>
      <c r="M210" s="84">
        <f t="shared" si="155"/>
        <v>0</v>
      </c>
      <c r="N210" s="84">
        <f t="shared" si="155"/>
        <v>0</v>
      </c>
      <c r="O210" s="84">
        <f t="shared" si="155"/>
        <v>0</v>
      </c>
      <c r="P210" s="84">
        <f t="shared" si="155"/>
        <v>0</v>
      </c>
      <c r="Q210" s="84">
        <f t="shared" si="155"/>
        <v>0</v>
      </c>
      <c r="R210" s="84">
        <f t="shared" si="155"/>
        <v>0</v>
      </c>
      <c r="S210" s="84">
        <f t="shared" si="155"/>
        <v>0</v>
      </c>
      <c r="T210" s="84">
        <f t="shared" si="155"/>
        <v>0</v>
      </c>
      <c r="U210" s="84">
        <f t="shared" si="155"/>
        <v>0</v>
      </c>
      <c r="V210" s="84">
        <f t="shared" si="155"/>
        <v>0</v>
      </c>
      <c r="W210" s="84">
        <f t="shared" si="155"/>
        <v>0</v>
      </c>
      <c r="X210" s="84">
        <f t="shared" si="155"/>
        <v>0</v>
      </c>
      <c r="Y210" s="84">
        <f t="shared" si="155"/>
        <v>0</v>
      </c>
      <c r="Z210" s="84">
        <f t="shared" si="155"/>
        <v>0</v>
      </c>
      <c r="AA210" s="84">
        <f t="shared" si="155"/>
        <v>0</v>
      </c>
      <c r="AB210" s="84">
        <f t="shared" si="155"/>
        <v>0</v>
      </c>
      <c r="AC210" s="84">
        <f t="shared" si="155"/>
        <v>0</v>
      </c>
      <c r="AD210" s="84">
        <f t="shared" si="155"/>
        <v>0</v>
      </c>
      <c r="AE210" s="84">
        <f t="shared" si="155"/>
        <v>0</v>
      </c>
      <c r="AF210" s="84">
        <f t="shared" si="155"/>
        <v>0</v>
      </c>
      <c r="AG210" s="84">
        <f t="shared" si="155"/>
        <v>0</v>
      </c>
      <c r="AH210" s="84">
        <f t="shared" si="155"/>
        <v>0</v>
      </c>
      <c r="AI210" s="84">
        <f t="shared" si="155"/>
        <v>0</v>
      </c>
      <c r="AJ210" s="84">
        <f t="shared" si="155"/>
        <v>0</v>
      </c>
      <c r="AK210" s="84">
        <f t="shared" si="155"/>
        <v>0</v>
      </c>
      <c r="AL210" s="84">
        <f t="shared" si="155"/>
        <v>0</v>
      </c>
      <c r="AM210" s="84">
        <f t="shared" si="155"/>
        <v>0</v>
      </c>
      <c r="AN210" s="60"/>
      <c r="AO210" s="87">
        <f t="shared" si="148"/>
        <v>0</v>
      </c>
      <c r="AP210" s="60" t="b">
        <f t="shared" si="149"/>
        <v>1</v>
      </c>
    </row>
    <row r="211" spans="1:42" ht="12" customHeight="1" outlineLevel="1">
      <c r="A211" s="84">
        <v>7</v>
      </c>
      <c r="B211" s="60">
        <f t="shared" si="150"/>
        <v>2031</v>
      </c>
      <c r="C211" s="34">
        <v>0</v>
      </c>
      <c r="D211" s="60"/>
      <c r="E211" s="60"/>
      <c r="F211" s="60"/>
      <c r="G211" s="60"/>
      <c r="H211" s="60"/>
      <c r="I211" s="60"/>
      <c r="J211" s="87">
        <f>IF(J$26,MIN($C211,MAX($C211/$C$201,$C211/(J$26/12))),0)</f>
        <v>0</v>
      </c>
      <c r="K211" s="84">
        <f t="shared" ref="K211:AM211" si="156">IF(AND(K$24-$A211&lt;$C$201,K$26&gt;0),J211*(K$25/12),0)</f>
        <v>0</v>
      </c>
      <c r="L211" s="84">
        <f t="shared" si="156"/>
        <v>0</v>
      </c>
      <c r="M211" s="84">
        <f t="shared" si="156"/>
        <v>0</v>
      </c>
      <c r="N211" s="84">
        <f t="shared" si="156"/>
        <v>0</v>
      </c>
      <c r="O211" s="84">
        <f t="shared" si="156"/>
        <v>0</v>
      </c>
      <c r="P211" s="84">
        <f t="shared" si="156"/>
        <v>0</v>
      </c>
      <c r="Q211" s="84">
        <f t="shared" si="156"/>
        <v>0</v>
      </c>
      <c r="R211" s="84">
        <f t="shared" si="156"/>
        <v>0</v>
      </c>
      <c r="S211" s="84">
        <f t="shared" si="156"/>
        <v>0</v>
      </c>
      <c r="T211" s="84">
        <f t="shared" si="156"/>
        <v>0</v>
      </c>
      <c r="U211" s="84">
        <f t="shared" si="156"/>
        <v>0</v>
      </c>
      <c r="V211" s="84">
        <f t="shared" si="156"/>
        <v>0</v>
      </c>
      <c r="W211" s="84">
        <f t="shared" si="156"/>
        <v>0</v>
      </c>
      <c r="X211" s="84">
        <f t="shared" si="156"/>
        <v>0</v>
      </c>
      <c r="Y211" s="84">
        <f t="shared" si="156"/>
        <v>0</v>
      </c>
      <c r="Z211" s="84">
        <f t="shared" si="156"/>
        <v>0</v>
      </c>
      <c r="AA211" s="84">
        <f t="shared" si="156"/>
        <v>0</v>
      </c>
      <c r="AB211" s="84">
        <f t="shared" si="156"/>
        <v>0</v>
      </c>
      <c r="AC211" s="84">
        <f t="shared" si="156"/>
        <v>0</v>
      </c>
      <c r="AD211" s="84">
        <f t="shared" si="156"/>
        <v>0</v>
      </c>
      <c r="AE211" s="84">
        <f t="shared" si="156"/>
        <v>0</v>
      </c>
      <c r="AF211" s="84">
        <f t="shared" si="156"/>
        <v>0</v>
      </c>
      <c r="AG211" s="84">
        <f t="shared" si="156"/>
        <v>0</v>
      </c>
      <c r="AH211" s="84">
        <f t="shared" si="156"/>
        <v>0</v>
      </c>
      <c r="AI211" s="84">
        <f t="shared" si="156"/>
        <v>0</v>
      </c>
      <c r="AJ211" s="84">
        <f t="shared" si="156"/>
        <v>0</v>
      </c>
      <c r="AK211" s="84">
        <f t="shared" si="156"/>
        <v>0</v>
      </c>
      <c r="AL211" s="84">
        <f t="shared" si="156"/>
        <v>0</v>
      </c>
      <c r="AM211" s="84">
        <f t="shared" si="156"/>
        <v>0</v>
      </c>
      <c r="AN211" s="60"/>
      <c r="AO211" s="87">
        <f t="shared" si="148"/>
        <v>0</v>
      </c>
      <c r="AP211" s="60" t="b">
        <f t="shared" si="149"/>
        <v>1</v>
      </c>
    </row>
    <row r="212" spans="1:42" ht="12" customHeight="1" outlineLevel="1">
      <c r="A212" s="84">
        <v>8</v>
      </c>
      <c r="B212" s="60">
        <f t="shared" si="150"/>
        <v>2032</v>
      </c>
      <c r="C212" s="34">
        <v>0</v>
      </c>
      <c r="D212" s="60"/>
      <c r="E212" s="60"/>
      <c r="F212" s="60"/>
      <c r="G212" s="60"/>
      <c r="H212" s="60"/>
      <c r="I212" s="60"/>
      <c r="J212" s="60"/>
      <c r="K212" s="87">
        <f>IF(K$26,MIN($C212,MAX($C212/$C$201,$C212/(K$26/12))),0)</f>
        <v>0</v>
      </c>
      <c r="L212" s="84">
        <f t="shared" ref="L212:AM212" si="157">IF(AND(L$24-$A212&lt;$C$201,L$26&gt;0),K212*(L$25/12),0)</f>
        <v>0</v>
      </c>
      <c r="M212" s="84">
        <f t="shared" si="157"/>
        <v>0</v>
      </c>
      <c r="N212" s="84">
        <f t="shared" si="157"/>
        <v>0</v>
      </c>
      <c r="O212" s="84">
        <f t="shared" si="157"/>
        <v>0</v>
      </c>
      <c r="P212" s="84">
        <f t="shared" si="157"/>
        <v>0</v>
      </c>
      <c r="Q212" s="84">
        <f t="shared" si="157"/>
        <v>0</v>
      </c>
      <c r="R212" s="84">
        <f t="shared" si="157"/>
        <v>0</v>
      </c>
      <c r="S212" s="84">
        <f t="shared" si="157"/>
        <v>0</v>
      </c>
      <c r="T212" s="84">
        <f t="shared" si="157"/>
        <v>0</v>
      </c>
      <c r="U212" s="84">
        <f t="shared" si="157"/>
        <v>0</v>
      </c>
      <c r="V212" s="84">
        <f t="shared" si="157"/>
        <v>0</v>
      </c>
      <c r="W212" s="84">
        <f t="shared" si="157"/>
        <v>0</v>
      </c>
      <c r="X212" s="84">
        <f t="shared" si="157"/>
        <v>0</v>
      </c>
      <c r="Y212" s="84">
        <f t="shared" si="157"/>
        <v>0</v>
      </c>
      <c r="Z212" s="84">
        <f t="shared" si="157"/>
        <v>0</v>
      </c>
      <c r="AA212" s="84">
        <f t="shared" si="157"/>
        <v>0</v>
      </c>
      <c r="AB212" s="84">
        <f t="shared" si="157"/>
        <v>0</v>
      </c>
      <c r="AC212" s="84">
        <f t="shared" si="157"/>
        <v>0</v>
      </c>
      <c r="AD212" s="84">
        <f t="shared" si="157"/>
        <v>0</v>
      </c>
      <c r="AE212" s="84">
        <f t="shared" si="157"/>
        <v>0</v>
      </c>
      <c r="AF212" s="84">
        <f t="shared" si="157"/>
        <v>0</v>
      </c>
      <c r="AG212" s="84">
        <f t="shared" si="157"/>
        <v>0</v>
      </c>
      <c r="AH212" s="84">
        <f t="shared" si="157"/>
        <v>0</v>
      </c>
      <c r="AI212" s="84">
        <f t="shared" si="157"/>
        <v>0</v>
      </c>
      <c r="AJ212" s="84">
        <f t="shared" si="157"/>
        <v>0</v>
      </c>
      <c r="AK212" s="84">
        <f t="shared" si="157"/>
        <v>0</v>
      </c>
      <c r="AL212" s="84">
        <f t="shared" si="157"/>
        <v>0</v>
      </c>
      <c r="AM212" s="84">
        <f t="shared" si="157"/>
        <v>0</v>
      </c>
      <c r="AN212" s="60"/>
      <c r="AO212" s="87">
        <f t="shared" si="148"/>
        <v>0</v>
      </c>
      <c r="AP212" s="60" t="b">
        <f t="shared" si="149"/>
        <v>1</v>
      </c>
    </row>
    <row r="213" spans="1:42" ht="12" customHeight="1" outlineLevel="1">
      <c r="A213" s="84">
        <v>9</v>
      </c>
      <c r="B213" s="60">
        <f t="shared" si="150"/>
        <v>2033</v>
      </c>
      <c r="C213" s="34">
        <v>0</v>
      </c>
      <c r="D213" s="60"/>
      <c r="E213" s="60"/>
      <c r="F213" s="60"/>
      <c r="G213" s="60"/>
      <c r="H213" s="60"/>
      <c r="I213" s="60"/>
      <c r="J213" s="60"/>
      <c r="K213" s="60"/>
      <c r="L213" s="87">
        <f>IF(L$26,MIN($C213,MAX($C213/$C$201,$C213/(L$26/12))),0)</f>
        <v>0</v>
      </c>
      <c r="M213" s="84">
        <f t="shared" ref="M213:AM213" si="158">IF(AND(M$24-$A213&lt;$C$201,M$26&gt;0),L213*(M$25/12),0)</f>
        <v>0</v>
      </c>
      <c r="N213" s="84">
        <f t="shared" si="158"/>
        <v>0</v>
      </c>
      <c r="O213" s="84">
        <f t="shared" si="158"/>
        <v>0</v>
      </c>
      <c r="P213" s="84">
        <f t="shared" si="158"/>
        <v>0</v>
      </c>
      <c r="Q213" s="84">
        <f t="shared" si="158"/>
        <v>0</v>
      </c>
      <c r="R213" s="84">
        <f t="shared" si="158"/>
        <v>0</v>
      </c>
      <c r="S213" s="84">
        <f t="shared" si="158"/>
        <v>0</v>
      </c>
      <c r="T213" s="84">
        <f t="shared" si="158"/>
        <v>0</v>
      </c>
      <c r="U213" s="84">
        <f t="shared" si="158"/>
        <v>0</v>
      </c>
      <c r="V213" s="84">
        <f t="shared" si="158"/>
        <v>0</v>
      </c>
      <c r="W213" s="84">
        <f t="shared" si="158"/>
        <v>0</v>
      </c>
      <c r="X213" s="84">
        <f t="shared" si="158"/>
        <v>0</v>
      </c>
      <c r="Y213" s="84">
        <f t="shared" si="158"/>
        <v>0</v>
      </c>
      <c r="Z213" s="84">
        <f t="shared" si="158"/>
        <v>0</v>
      </c>
      <c r="AA213" s="84">
        <f t="shared" si="158"/>
        <v>0</v>
      </c>
      <c r="AB213" s="84">
        <f t="shared" si="158"/>
        <v>0</v>
      </c>
      <c r="AC213" s="84">
        <f t="shared" si="158"/>
        <v>0</v>
      </c>
      <c r="AD213" s="84">
        <f t="shared" si="158"/>
        <v>0</v>
      </c>
      <c r="AE213" s="84">
        <f t="shared" si="158"/>
        <v>0</v>
      </c>
      <c r="AF213" s="84">
        <f t="shared" si="158"/>
        <v>0</v>
      </c>
      <c r="AG213" s="84">
        <f t="shared" si="158"/>
        <v>0</v>
      </c>
      <c r="AH213" s="84">
        <f t="shared" si="158"/>
        <v>0</v>
      </c>
      <c r="AI213" s="84">
        <f t="shared" si="158"/>
        <v>0</v>
      </c>
      <c r="AJ213" s="84">
        <f t="shared" si="158"/>
        <v>0</v>
      </c>
      <c r="AK213" s="84">
        <f t="shared" si="158"/>
        <v>0</v>
      </c>
      <c r="AL213" s="84">
        <f t="shared" si="158"/>
        <v>0</v>
      </c>
      <c r="AM213" s="84">
        <f t="shared" si="158"/>
        <v>0</v>
      </c>
      <c r="AN213" s="60"/>
      <c r="AO213" s="87">
        <f t="shared" si="148"/>
        <v>0</v>
      </c>
      <c r="AP213" s="60" t="b">
        <f t="shared" si="149"/>
        <v>1</v>
      </c>
    </row>
    <row r="214" spans="1:42" ht="12" customHeight="1" outlineLevel="1">
      <c r="A214" s="84">
        <v>10</v>
      </c>
      <c r="B214" s="60">
        <f t="shared" si="150"/>
        <v>2034</v>
      </c>
      <c r="C214" s="34">
        <v>0</v>
      </c>
      <c r="D214" s="60"/>
      <c r="E214" s="60"/>
      <c r="F214" s="60"/>
      <c r="G214" s="60"/>
      <c r="H214" s="60"/>
      <c r="I214" s="60"/>
      <c r="J214" s="60"/>
      <c r="K214" s="60"/>
      <c r="L214" s="60"/>
      <c r="M214" s="87">
        <f>IF(M$26,MIN($C214,MAX($C214/$C$201,$C214/(M$26/12))),0)</f>
        <v>0</v>
      </c>
      <c r="N214" s="84">
        <f t="shared" ref="N214:AM214" si="159">IF(AND(N$24-$A214&lt;$C$201,N$26&gt;0),M214*(N$25/12),0)</f>
        <v>0</v>
      </c>
      <c r="O214" s="84">
        <f t="shared" si="159"/>
        <v>0</v>
      </c>
      <c r="P214" s="84">
        <f t="shared" si="159"/>
        <v>0</v>
      </c>
      <c r="Q214" s="84">
        <f t="shared" si="159"/>
        <v>0</v>
      </c>
      <c r="R214" s="84">
        <f t="shared" si="159"/>
        <v>0</v>
      </c>
      <c r="S214" s="84">
        <f t="shared" si="159"/>
        <v>0</v>
      </c>
      <c r="T214" s="84">
        <f t="shared" si="159"/>
        <v>0</v>
      </c>
      <c r="U214" s="84">
        <f t="shared" si="159"/>
        <v>0</v>
      </c>
      <c r="V214" s="84">
        <f t="shared" si="159"/>
        <v>0</v>
      </c>
      <c r="W214" s="84">
        <f t="shared" si="159"/>
        <v>0</v>
      </c>
      <c r="X214" s="84">
        <f t="shared" si="159"/>
        <v>0</v>
      </c>
      <c r="Y214" s="84">
        <f t="shared" si="159"/>
        <v>0</v>
      </c>
      <c r="Z214" s="84">
        <f t="shared" si="159"/>
        <v>0</v>
      </c>
      <c r="AA214" s="84">
        <f t="shared" si="159"/>
        <v>0</v>
      </c>
      <c r="AB214" s="84">
        <f t="shared" si="159"/>
        <v>0</v>
      </c>
      <c r="AC214" s="84">
        <f t="shared" si="159"/>
        <v>0</v>
      </c>
      <c r="AD214" s="84">
        <f t="shared" si="159"/>
        <v>0</v>
      </c>
      <c r="AE214" s="84">
        <f t="shared" si="159"/>
        <v>0</v>
      </c>
      <c r="AF214" s="84">
        <f t="shared" si="159"/>
        <v>0</v>
      </c>
      <c r="AG214" s="84">
        <f t="shared" si="159"/>
        <v>0</v>
      </c>
      <c r="AH214" s="84">
        <f t="shared" si="159"/>
        <v>0</v>
      </c>
      <c r="AI214" s="84">
        <f t="shared" si="159"/>
        <v>0</v>
      </c>
      <c r="AJ214" s="84">
        <f t="shared" si="159"/>
        <v>0</v>
      </c>
      <c r="AK214" s="84">
        <f t="shared" si="159"/>
        <v>0</v>
      </c>
      <c r="AL214" s="84">
        <f t="shared" si="159"/>
        <v>0</v>
      </c>
      <c r="AM214" s="84">
        <f t="shared" si="159"/>
        <v>0</v>
      </c>
      <c r="AN214" s="60"/>
      <c r="AO214" s="87">
        <f t="shared" si="148"/>
        <v>0</v>
      </c>
      <c r="AP214" s="60" t="b">
        <f t="shared" si="149"/>
        <v>1</v>
      </c>
    </row>
    <row r="215" spans="1:42" ht="12" customHeight="1" outlineLevel="1">
      <c r="A215" s="84">
        <v>11</v>
      </c>
      <c r="B215" s="60">
        <f t="shared" si="150"/>
        <v>2035</v>
      </c>
      <c r="C215" s="34">
        <v>0</v>
      </c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87">
        <f>IF(N$26,MIN($C215,MAX($C215/$C$201,$C215/(N$26/12))),0)</f>
        <v>0</v>
      </c>
      <c r="O215" s="84">
        <f t="shared" ref="O215:AM215" si="160">IF(AND(O$24-$A215&lt;$C$201,O$26&gt;0),N215*(O$25/12),0)</f>
        <v>0</v>
      </c>
      <c r="P215" s="84">
        <f t="shared" si="160"/>
        <v>0</v>
      </c>
      <c r="Q215" s="84">
        <f t="shared" si="160"/>
        <v>0</v>
      </c>
      <c r="R215" s="84">
        <f t="shared" si="160"/>
        <v>0</v>
      </c>
      <c r="S215" s="84">
        <f t="shared" si="160"/>
        <v>0</v>
      </c>
      <c r="T215" s="84">
        <f t="shared" si="160"/>
        <v>0</v>
      </c>
      <c r="U215" s="84">
        <f t="shared" si="160"/>
        <v>0</v>
      </c>
      <c r="V215" s="84">
        <f t="shared" si="160"/>
        <v>0</v>
      </c>
      <c r="W215" s="84">
        <f t="shared" si="160"/>
        <v>0</v>
      </c>
      <c r="X215" s="84">
        <f t="shared" si="160"/>
        <v>0</v>
      </c>
      <c r="Y215" s="84">
        <f t="shared" si="160"/>
        <v>0</v>
      </c>
      <c r="Z215" s="84">
        <f t="shared" si="160"/>
        <v>0</v>
      </c>
      <c r="AA215" s="84">
        <f t="shared" si="160"/>
        <v>0</v>
      </c>
      <c r="AB215" s="84">
        <f t="shared" si="160"/>
        <v>0</v>
      </c>
      <c r="AC215" s="84">
        <f t="shared" si="160"/>
        <v>0</v>
      </c>
      <c r="AD215" s="84">
        <f t="shared" si="160"/>
        <v>0</v>
      </c>
      <c r="AE215" s="84">
        <f t="shared" si="160"/>
        <v>0</v>
      </c>
      <c r="AF215" s="84">
        <f t="shared" si="160"/>
        <v>0</v>
      </c>
      <c r="AG215" s="84">
        <f t="shared" si="160"/>
        <v>0</v>
      </c>
      <c r="AH215" s="84">
        <f t="shared" si="160"/>
        <v>0</v>
      </c>
      <c r="AI215" s="84">
        <f t="shared" si="160"/>
        <v>0</v>
      </c>
      <c r="AJ215" s="84">
        <f t="shared" si="160"/>
        <v>0</v>
      </c>
      <c r="AK215" s="84">
        <f t="shared" si="160"/>
        <v>0</v>
      </c>
      <c r="AL215" s="84">
        <f t="shared" si="160"/>
        <v>0</v>
      </c>
      <c r="AM215" s="84">
        <f t="shared" si="160"/>
        <v>0</v>
      </c>
      <c r="AN215" s="60"/>
      <c r="AO215" s="87">
        <f t="shared" si="148"/>
        <v>0</v>
      </c>
      <c r="AP215" s="60" t="b">
        <f t="shared" si="149"/>
        <v>1</v>
      </c>
    </row>
    <row r="216" spans="1:42" ht="12" customHeight="1" outlineLevel="1">
      <c r="A216" s="84">
        <v>12</v>
      </c>
      <c r="B216" s="60">
        <f t="shared" si="150"/>
        <v>2036</v>
      </c>
      <c r="C216" s="34">
        <v>0</v>
      </c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87">
        <f>IF(O$26,MIN($C216,MAX($C216/$C$201,$C216/(O$26/12))),0)</f>
        <v>0</v>
      </c>
      <c r="P216" s="84">
        <f t="shared" ref="P216:AM216" si="161">IF(AND(P$24-$A216&lt;$C$201,P$26&gt;0),O216*(P$25/12),0)</f>
        <v>0</v>
      </c>
      <c r="Q216" s="84">
        <f t="shared" si="161"/>
        <v>0</v>
      </c>
      <c r="R216" s="84">
        <f t="shared" si="161"/>
        <v>0</v>
      </c>
      <c r="S216" s="84">
        <f t="shared" si="161"/>
        <v>0</v>
      </c>
      <c r="T216" s="84">
        <f t="shared" si="161"/>
        <v>0</v>
      </c>
      <c r="U216" s="84">
        <f t="shared" si="161"/>
        <v>0</v>
      </c>
      <c r="V216" s="84">
        <f t="shared" si="161"/>
        <v>0</v>
      </c>
      <c r="W216" s="84">
        <f t="shared" si="161"/>
        <v>0</v>
      </c>
      <c r="X216" s="84">
        <f t="shared" si="161"/>
        <v>0</v>
      </c>
      <c r="Y216" s="84">
        <f t="shared" si="161"/>
        <v>0</v>
      </c>
      <c r="Z216" s="84">
        <f t="shared" si="161"/>
        <v>0</v>
      </c>
      <c r="AA216" s="84">
        <f t="shared" si="161"/>
        <v>0</v>
      </c>
      <c r="AB216" s="84">
        <f t="shared" si="161"/>
        <v>0</v>
      </c>
      <c r="AC216" s="84">
        <f t="shared" si="161"/>
        <v>0</v>
      </c>
      <c r="AD216" s="84">
        <f t="shared" si="161"/>
        <v>0</v>
      </c>
      <c r="AE216" s="84">
        <f t="shared" si="161"/>
        <v>0</v>
      </c>
      <c r="AF216" s="84">
        <f t="shared" si="161"/>
        <v>0</v>
      </c>
      <c r="AG216" s="84">
        <f t="shared" si="161"/>
        <v>0</v>
      </c>
      <c r="AH216" s="84">
        <f t="shared" si="161"/>
        <v>0</v>
      </c>
      <c r="AI216" s="84">
        <f t="shared" si="161"/>
        <v>0</v>
      </c>
      <c r="AJ216" s="84">
        <f t="shared" si="161"/>
        <v>0</v>
      </c>
      <c r="AK216" s="84">
        <f t="shared" si="161"/>
        <v>0</v>
      </c>
      <c r="AL216" s="84">
        <f t="shared" si="161"/>
        <v>0</v>
      </c>
      <c r="AM216" s="84">
        <f t="shared" si="161"/>
        <v>0</v>
      </c>
      <c r="AN216" s="60"/>
      <c r="AO216" s="87">
        <f t="shared" si="148"/>
        <v>0</v>
      </c>
      <c r="AP216" s="60" t="b">
        <f t="shared" si="149"/>
        <v>1</v>
      </c>
    </row>
    <row r="217" spans="1:42" ht="12" customHeight="1" outlineLevel="1">
      <c r="A217" s="84">
        <v>13</v>
      </c>
      <c r="B217" s="60">
        <f t="shared" si="150"/>
        <v>2037</v>
      </c>
      <c r="C217" s="34">
        <v>0</v>
      </c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87">
        <f>IF(P$26,MIN($C217,MAX($C217/$C$201,$C217/(P$26/12))),0)</f>
        <v>0</v>
      </c>
      <c r="Q217" s="84">
        <f t="shared" ref="Q217:AM217" si="162">IF(AND(Q$24-$A217&lt;$C$201,Q$26&gt;0),P217*(Q$25/12),0)</f>
        <v>0</v>
      </c>
      <c r="R217" s="84">
        <f t="shared" si="162"/>
        <v>0</v>
      </c>
      <c r="S217" s="84">
        <f t="shared" si="162"/>
        <v>0</v>
      </c>
      <c r="T217" s="84">
        <f t="shared" si="162"/>
        <v>0</v>
      </c>
      <c r="U217" s="84">
        <f t="shared" si="162"/>
        <v>0</v>
      </c>
      <c r="V217" s="84">
        <f t="shared" si="162"/>
        <v>0</v>
      </c>
      <c r="W217" s="84">
        <f t="shared" si="162"/>
        <v>0</v>
      </c>
      <c r="X217" s="84">
        <f t="shared" si="162"/>
        <v>0</v>
      </c>
      <c r="Y217" s="84">
        <f t="shared" si="162"/>
        <v>0</v>
      </c>
      <c r="Z217" s="84">
        <f t="shared" si="162"/>
        <v>0</v>
      </c>
      <c r="AA217" s="84">
        <f t="shared" si="162"/>
        <v>0</v>
      </c>
      <c r="AB217" s="84">
        <f t="shared" si="162"/>
        <v>0</v>
      </c>
      <c r="AC217" s="84">
        <f t="shared" si="162"/>
        <v>0</v>
      </c>
      <c r="AD217" s="84">
        <f t="shared" si="162"/>
        <v>0</v>
      </c>
      <c r="AE217" s="84">
        <f t="shared" si="162"/>
        <v>0</v>
      </c>
      <c r="AF217" s="84">
        <f t="shared" si="162"/>
        <v>0</v>
      </c>
      <c r="AG217" s="84">
        <f t="shared" si="162"/>
        <v>0</v>
      </c>
      <c r="AH217" s="84">
        <f t="shared" si="162"/>
        <v>0</v>
      </c>
      <c r="AI217" s="84">
        <f t="shared" si="162"/>
        <v>0</v>
      </c>
      <c r="AJ217" s="84">
        <f t="shared" si="162"/>
        <v>0</v>
      </c>
      <c r="AK217" s="84">
        <f t="shared" si="162"/>
        <v>0</v>
      </c>
      <c r="AL217" s="84">
        <f t="shared" si="162"/>
        <v>0</v>
      </c>
      <c r="AM217" s="84">
        <f t="shared" si="162"/>
        <v>0</v>
      </c>
      <c r="AN217" s="60"/>
      <c r="AO217" s="87">
        <f t="shared" si="148"/>
        <v>0</v>
      </c>
      <c r="AP217" s="60" t="b">
        <f t="shared" si="149"/>
        <v>1</v>
      </c>
    </row>
    <row r="218" spans="1:42" ht="12" customHeight="1" outlineLevel="1">
      <c r="A218" s="84">
        <v>14</v>
      </c>
      <c r="B218" s="60">
        <f t="shared" si="150"/>
        <v>2038</v>
      </c>
      <c r="C218" s="34">
        <v>0</v>
      </c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87">
        <f>IF(Q$26,MIN($C218,MAX($C218/$C$201,$C218/(Q$26/12))),0)</f>
        <v>0</v>
      </c>
      <c r="R218" s="84">
        <f t="shared" ref="R218:AM218" si="163">IF(AND(R$24-$A218&lt;$C$201,R$26&gt;0),Q218*(R$25/12),0)</f>
        <v>0</v>
      </c>
      <c r="S218" s="84">
        <f t="shared" si="163"/>
        <v>0</v>
      </c>
      <c r="T218" s="84">
        <f t="shared" si="163"/>
        <v>0</v>
      </c>
      <c r="U218" s="84">
        <f t="shared" si="163"/>
        <v>0</v>
      </c>
      <c r="V218" s="84">
        <f t="shared" si="163"/>
        <v>0</v>
      </c>
      <c r="W218" s="84">
        <f t="shared" si="163"/>
        <v>0</v>
      </c>
      <c r="X218" s="84">
        <f t="shared" si="163"/>
        <v>0</v>
      </c>
      <c r="Y218" s="84">
        <f t="shared" si="163"/>
        <v>0</v>
      </c>
      <c r="Z218" s="84">
        <f t="shared" si="163"/>
        <v>0</v>
      </c>
      <c r="AA218" s="84">
        <f t="shared" si="163"/>
        <v>0</v>
      </c>
      <c r="AB218" s="84">
        <f t="shared" si="163"/>
        <v>0</v>
      </c>
      <c r="AC218" s="84">
        <f t="shared" si="163"/>
        <v>0</v>
      </c>
      <c r="AD218" s="84">
        <f t="shared" si="163"/>
        <v>0</v>
      </c>
      <c r="AE218" s="84">
        <f t="shared" si="163"/>
        <v>0</v>
      </c>
      <c r="AF218" s="84">
        <f t="shared" si="163"/>
        <v>0</v>
      </c>
      <c r="AG218" s="84">
        <f t="shared" si="163"/>
        <v>0</v>
      </c>
      <c r="AH218" s="84">
        <f t="shared" si="163"/>
        <v>0</v>
      </c>
      <c r="AI218" s="84">
        <f t="shared" si="163"/>
        <v>0</v>
      </c>
      <c r="AJ218" s="84">
        <f t="shared" si="163"/>
        <v>0</v>
      </c>
      <c r="AK218" s="84">
        <f t="shared" si="163"/>
        <v>0</v>
      </c>
      <c r="AL218" s="84">
        <f t="shared" si="163"/>
        <v>0</v>
      </c>
      <c r="AM218" s="84">
        <f t="shared" si="163"/>
        <v>0</v>
      </c>
      <c r="AN218" s="60"/>
      <c r="AO218" s="87">
        <f t="shared" si="148"/>
        <v>0</v>
      </c>
      <c r="AP218" s="60" t="b">
        <f t="shared" si="149"/>
        <v>1</v>
      </c>
    </row>
    <row r="219" spans="1:42" ht="12" customHeight="1" outlineLevel="1">
      <c r="A219" s="84">
        <v>15</v>
      </c>
      <c r="B219" s="60">
        <f t="shared" si="150"/>
        <v>2039</v>
      </c>
      <c r="C219" s="34">
        <v>0</v>
      </c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87">
        <f>IF(R$26,MIN($C219,MAX($C219/$C$201,$C219/(R$26/12))),0)</f>
        <v>0</v>
      </c>
      <c r="S219" s="84">
        <f t="shared" ref="S219:AM219" si="164">IF(AND(S$24-$A219&lt;$C$201,S$26&gt;0),R219*(S$25/12),0)</f>
        <v>0</v>
      </c>
      <c r="T219" s="84">
        <f t="shared" si="164"/>
        <v>0</v>
      </c>
      <c r="U219" s="84">
        <f t="shared" si="164"/>
        <v>0</v>
      </c>
      <c r="V219" s="84">
        <f t="shared" si="164"/>
        <v>0</v>
      </c>
      <c r="W219" s="84">
        <f t="shared" si="164"/>
        <v>0</v>
      </c>
      <c r="X219" s="84">
        <f t="shared" si="164"/>
        <v>0</v>
      </c>
      <c r="Y219" s="84">
        <f t="shared" si="164"/>
        <v>0</v>
      </c>
      <c r="Z219" s="84">
        <f t="shared" si="164"/>
        <v>0</v>
      </c>
      <c r="AA219" s="84">
        <f t="shared" si="164"/>
        <v>0</v>
      </c>
      <c r="AB219" s="84">
        <f t="shared" si="164"/>
        <v>0</v>
      </c>
      <c r="AC219" s="84">
        <f t="shared" si="164"/>
        <v>0</v>
      </c>
      <c r="AD219" s="84">
        <f t="shared" si="164"/>
        <v>0</v>
      </c>
      <c r="AE219" s="84">
        <f t="shared" si="164"/>
        <v>0</v>
      </c>
      <c r="AF219" s="84">
        <f t="shared" si="164"/>
        <v>0</v>
      </c>
      <c r="AG219" s="84">
        <f t="shared" si="164"/>
        <v>0</v>
      </c>
      <c r="AH219" s="84">
        <f t="shared" si="164"/>
        <v>0</v>
      </c>
      <c r="AI219" s="84">
        <f t="shared" si="164"/>
        <v>0</v>
      </c>
      <c r="AJ219" s="84">
        <f t="shared" si="164"/>
        <v>0</v>
      </c>
      <c r="AK219" s="84">
        <f t="shared" si="164"/>
        <v>0</v>
      </c>
      <c r="AL219" s="84">
        <f t="shared" si="164"/>
        <v>0</v>
      </c>
      <c r="AM219" s="84">
        <f t="shared" si="164"/>
        <v>0</v>
      </c>
      <c r="AN219" s="60"/>
      <c r="AO219" s="87">
        <f t="shared" si="148"/>
        <v>0</v>
      </c>
      <c r="AP219" s="60" t="b">
        <f t="shared" si="149"/>
        <v>1</v>
      </c>
    </row>
    <row r="220" spans="1:42" ht="12" customHeight="1" outlineLevel="1">
      <c r="A220" s="84">
        <v>16</v>
      </c>
      <c r="B220" s="60">
        <f t="shared" si="150"/>
        <v>2040</v>
      </c>
      <c r="C220" s="34">
        <v>0</v>
      </c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87">
        <f>IF(S$26,MIN($C220,MAX($C220/$C$201,$C220/(S$26/12))),0)</f>
        <v>0</v>
      </c>
      <c r="T220" s="84">
        <f t="shared" ref="T220:AM220" si="165">IF(AND(T$24-$A220&lt;$C$201,T$26&gt;0),S220*(T$25/12),0)</f>
        <v>0</v>
      </c>
      <c r="U220" s="84">
        <f t="shared" si="165"/>
        <v>0</v>
      </c>
      <c r="V220" s="84">
        <f t="shared" si="165"/>
        <v>0</v>
      </c>
      <c r="W220" s="84">
        <f t="shared" si="165"/>
        <v>0</v>
      </c>
      <c r="X220" s="84">
        <f t="shared" si="165"/>
        <v>0</v>
      </c>
      <c r="Y220" s="84">
        <f t="shared" si="165"/>
        <v>0</v>
      </c>
      <c r="Z220" s="84">
        <f t="shared" si="165"/>
        <v>0</v>
      </c>
      <c r="AA220" s="84">
        <f t="shared" si="165"/>
        <v>0</v>
      </c>
      <c r="AB220" s="84">
        <f t="shared" si="165"/>
        <v>0</v>
      </c>
      <c r="AC220" s="84">
        <f t="shared" si="165"/>
        <v>0</v>
      </c>
      <c r="AD220" s="84">
        <f t="shared" si="165"/>
        <v>0</v>
      </c>
      <c r="AE220" s="84">
        <f t="shared" si="165"/>
        <v>0</v>
      </c>
      <c r="AF220" s="84">
        <f t="shared" si="165"/>
        <v>0</v>
      </c>
      <c r="AG220" s="84">
        <f t="shared" si="165"/>
        <v>0</v>
      </c>
      <c r="AH220" s="84">
        <f t="shared" si="165"/>
        <v>0</v>
      </c>
      <c r="AI220" s="84">
        <f t="shared" si="165"/>
        <v>0</v>
      </c>
      <c r="AJ220" s="84">
        <f t="shared" si="165"/>
        <v>0</v>
      </c>
      <c r="AK220" s="84">
        <f t="shared" si="165"/>
        <v>0</v>
      </c>
      <c r="AL220" s="84">
        <f t="shared" si="165"/>
        <v>0</v>
      </c>
      <c r="AM220" s="84">
        <f t="shared" si="165"/>
        <v>0</v>
      </c>
      <c r="AN220" s="60"/>
      <c r="AO220" s="87">
        <f t="shared" si="148"/>
        <v>0</v>
      </c>
      <c r="AP220" s="60" t="b">
        <f t="shared" si="149"/>
        <v>1</v>
      </c>
    </row>
    <row r="221" spans="1:42" ht="12" customHeight="1" outlineLevel="1">
      <c r="A221" s="84">
        <v>17</v>
      </c>
      <c r="B221" s="60">
        <f t="shared" si="150"/>
        <v>2041</v>
      </c>
      <c r="C221" s="34">
        <v>0</v>
      </c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87">
        <f>IF(T$26,MIN($C221,MAX($C221/$C$201,$C221/(T$26/12))),0)</f>
        <v>0</v>
      </c>
      <c r="U221" s="84">
        <f t="shared" ref="U221:AM221" si="166">IF(AND(U$24-$A221&lt;$C$201,U$26&gt;0),T221*(U$25/12),0)</f>
        <v>0</v>
      </c>
      <c r="V221" s="84">
        <f t="shared" si="166"/>
        <v>0</v>
      </c>
      <c r="W221" s="84">
        <f t="shared" si="166"/>
        <v>0</v>
      </c>
      <c r="X221" s="84">
        <f t="shared" si="166"/>
        <v>0</v>
      </c>
      <c r="Y221" s="84">
        <f t="shared" si="166"/>
        <v>0</v>
      </c>
      <c r="Z221" s="84">
        <f t="shared" si="166"/>
        <v>0</v>
      </c>
      <c r="AA221" s="84">
        <f t="shared" si="166"/>
        <v>0</v>
      </c>
      <c r="AB221" s="84">
        <f t="shared" si="166"/>
        <v>0</v>
      </c>
      <c r="AC221" s="84">
        <f t="shared" si="166"/>
        <v>0</v>
      </c>
      <c r="AD221" s="84">
        <f t="shared" si="166"/>
        <v>0</v>
      </c>
      <c r="AE221" s="84">
        <f t="shared" si="166"/>
        <v>0</v>
      </c>
      <c r="AF221" s="84">
        <f t="shared" si="166"/>
        <v>0</v>
      </c>
      <c r="AG221" s="84">
        <f t="shared" si="166"/>
        <v>0</v>
      </c>
      <c r="AH221" s="84">
        <f t="shared" si="166"/>
        <v>0</v>
      </c>
      <c r="AI221" s="84">
        <f t="shared" si="166"/>
        <v>0</v>
      </c>
      <c r="AJ221" s="84">
        <f t="shared" si="166"/>
        <v>0</v>
      </c>
      <c r="AK221" s="84">
        <f t="shared" si="166"/>
        <v>0</v>
      </c>
      <c r="AL221" s="84">
        <f t="shared" si="166"/>
        <v>0</v>
      </c>
      <c r="AM221" s="84">
        <f t="shared" si="166"/>
        <v>0</v>
      </c>
      <c r="AN221" s="60"/>
      <c r="AO221" s="87">
        <f t="shared" si="148"/>
        <v>0</v>
      </c>
      <c r="AP221" s="60" t="b">
        <f t="shared" si="149"/>
        <v>1</v>
      </c>
    </row>
    <row r="222" spans="1:42" ht="12" customHeight="1" outlineLevel="1">
      <c r="A222" s="84">
        <v>18</v>
      </c>
      <c r="B222" s="60">
        <f t="shared" si="150"/>
        <v>2042</v>
      </c>
      <c r="C222" s="34">
        <v>0</v>
      </c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87">
        <f>IF(U$26,MIN($C222,MAX($C222/$C$201,$C222/(U$26/12))),0)</f>
        <v>0</v>
      </c>
      <c r="V222" s="84">
        <f t="shared" ref="V222:AM222" si="167">IF(AND(V$24-$A222&lt;$C$201,V$26&gt;0),U222*(V$25/12),0)</f>
        <v>0</v>
      </c>
      <c r="W222" s="84">
        <f t="shared" si="167"/>
        <v>0</v>
      </c>
      <c r="X222" s="84">
        <f t="shared" si="167"/>
        <v>0</v>
      </c>
      <c r="Y222" s="84">
        <f t="shared" si="167"/>
        <v>0</v>
      </c>
      <c r="Z222" s="84">
        <f t="shared" si="167"/>
        <v>0</v>
      </c>
      <c r="AA222" s="84">
        <f t="shared" si="167"/>
        <v>0</v>
      </c>
      <c r="AB222" s="84">
        <f t="shared" si="167"/>
        <v>0</v>
      </c>
      <c r="AC222" s="84">
        <f t="shared" si="167"/>
        <v>0</v>
      </c>
      <c r="AD222" s="84">
        <f t="shared" si="167"/>
        <v>0</v>
      </c>
      <c r="AE222" s="84">
        <f t="shared" si="167"/>
        <v>0</v>
      </c>
      <c r="AF222" s="84">
        <f t="shared" si="167"/>
        <v>0</v>
      </c>
      <c r="AG222" s="84">
        <f t="shared" si="167"/>
        <v>0</v>
      </c>
      <c r="AH222" s="84">
        <f t="shared" si="167"/>
        <v>0</v>
      </c>
      <c r="AI222" s="84">
        <f t="shared" si="167"/>
        <v>0</v>
      </c>
      <c r="AJ222" s="84">
        <f t="shared" si="167"/>
        <v>0</v>
      </c>
      <c r="AK222" s="84">
        <f t="shared" si="167"/>
        <v>0</v>
      </c>
      <c r="AL222" s="84">
        <f t="shared" si="167"/>
        <v>0</v>
      </c>
      <c r="AM222" s="84">
        <f t="shared" si="167"/>
        <v>0</v>
      </c>
      <c r="AN222" s="60"/>
      <c r="AO222" s="87">
        <f t="shared" si="148"/>
        <v>0</v>
      </c>
      <c r="AP222" s="60" t="b">
        <f t="shared" si="149"/>
        <v>1</v>
      </c>
    </row>
    <row r="223" spans="1:42" ht="12" customHeight="1" outlineLevel="1">
      <c r="A223" s="84">
        <v>19</v>
      </c>
      <c r="B223" s="60">
        <f t="shared" si="150"/>
        <v>2043</v>
      </c>
      <c r="C223" s="34">
        <v>0</v>
      </c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87">
        <f>IF(V$26,MIN($C223,MAX($C223/$C$201,$C223/(V$26/12))),0)</f>
        <v>0</v>
      </c>
      <c r="W223" s="84">
        <f t="shared" ref="W223:AM223" si="168">IF(AND(W$24-$A223&lt;$C$201,W$26&gt;0),V223*(W$25/12),0)</f>
        <v>0</v>
      </c>
      <c r="X223" s="84">
        <f t="shared" si="168"/>
        <v>0</v>
      </c>
      <c r="Y223" s="84">
        <f t="shared" si="168"/>
        <v>0</v>
      </c>
      <c r="Z223" s="84">
        <f t="shared" si="168"/>
        <v>0</v>
      </c>
      <c r="AA223" s="84">
        <f t="shared" si="168"/>
        <v>0</v>
      </c>
      <c r="AB223" s="84">
        <f t="shared" si="168"/>
        <v>0</v>
      </c>
      <c r="AC223" s="84">
        <f t="shared" si="168"/>
        <v>0</v>
      </c>
      <c r="AD223" s="84">
        <f t="shared" si="168"/>
        <v>0</v>
      </c>
      <c r="AE223" s="84">
        <f t="shared" si="168"/>
        <v>0</v>
      </c>
      <c r="AF223" s="84">
        <f t="shared" si="168"/>
        <v>0</v>
      </c>
      <c r="AG223" s="84">
        <f t="shared" si="168"/>
        <v>0</v>
      </c>
      <c r="AH223" s="84">
        <f t="shared" si="168"/>
        <v>0</v>
      </c>
      <c r="AI223" s="84">
        <f t="shared" si="168"/>
        <v>0</v>
      </c>
      <c r="AJ223" s="84">
        <f t="shared" si="168"/>
        <v>0</v>
      </c>
      <c r="AK223" s="84">
        <f t="shared" si="168"/>
        <v>0</v>
      </c>
      <c r="AL223" s="84">
        <f t="shared" si="168"/>
        <v>0</v>
      </c>
      <c r="AM223" s="84">
        <f t="shared" si="168"/>
        <v>0</v>
      </c>
      <c r="AN223" s="60"/>
      <c r="AO223" s="87">
        <f t="shared" si="148"/>
        <v>0</v>
      </c>
      <c r="AP223" s="60" t="b">
        <f t="shared" si="149"/>
        <v>1</v>
      </c>
    </row>
    <row r="224" spans="1:42" ht="12" customHeight="1" outlineLevel="1">
      <c r="A224" s="84">
        <v>20</v>
      </c>
      <c r="B224" s="60">
        <f t="shared" si="150"/>
        <v>2044</v>
      </c>
      <c r="C224" s="34">
        <v>0</v>
      </c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87">
        <f>IF(W$26,MIN($C224,MAX($C224/$C$201,$C224/(W$26/12))),0)</f>
        <v>0</v>
      </c>
      <c r="X224" s="84">
        <f t="shared" ref="X224:AM224" si="169">IF(AND(X$24-$A224&lt;$C$201,X$26&gt;0),W224*(X$25/12),0)</f>
        <v>0</v>
      </c>
      <c r="Y224" s="84">
        <f t="shared" si="169"/>
        <v>0</v>
      </c>
      <c r="Z224" s="84">
        <f t="shared" si="169"/>
        <v>0</v>
      </c>
      <c r="AA224" s="84">
        <f t="shared" si="169"/>
        <v>0</v>
      </c>
      <c r="AB224" s="84">
        <f t="shared" si="169"/>
        <v>0</v>
      </c>
      <c r="AC224" s="84">
        <f t="shared" si="169"/>
        <v>0</v>
      </c>
      <c r="AD224" s="84">
        <f t="shared" si="169"/>
        <v>0</v>
      </c>
      <c r="AE224" s="84">
        <f t="shared" si="169"/>
        <v>0</v>
      </c>
      <c r="AF224" s="84">
        <f t="shared" si="169"/>
        <v>0</v>
      </c>
      <c r="AG224" s="84">
        <f t="shared" si="169"/>
        <v>0</v>
      </c>
      <c r="AH224" s="84">
        <f t="shared" si="169"/>
        <v>0</v>
      </c>
      <c r="AI224" s="84">
        <f t="shared" si="169"/>
        <v>0</v>
      </c>
      <c r="AJ224" s="84">
        <f t="shared" si="169"/>
        <v>0</v>
      </c>
      <c r="AK224" s="84">
        <f t="shared" si="169"/>
        <v>0</v>
      </c>
      <c r="AL224" s="84">
        <f t="shared" si="169"/>
        <v>0</v>
      </c>
      <c r="AM224" s="84">
        <f t="shared" si="169"/>
        <v>0</v>
      </c>
      <c r="AN224" s="60"/>
      <c r="AO224" s="87">
        <f t="shared" si="148"/>
        <v>0</v>
      </c>
      <c r="AP224" s="60" t="b">
        <f t="shared" si="149"/>
        <v>1</v>
      </c>
    </row>
    <row r="225" spans="1:42" ht="12" customHeight="1" outlineLevel="1">
      <c r="A225" s="84">
        <v>21</v>
      </c>
      <c r="B225" s="60">
        <f t="shared" si="150"/>
        <v>2045</v>
      </c>
      <c r="C225" s="34">
        <v>0</v>
      </c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87">
        <f>IF(X$26,MIN($C225,MAX($C225/$C$201,$C225/(X$26/12))),0)</f>
        <v>0</v>
      </c>
      <c r="Y225" s="84">
        <f t="shared" ref="Y225:AM225" si="170">IF(AND(Y$24-$A225&lt;$C$201,Y$26&gt;0),X225*(Y$25/12),0)</f>
        <v>0</v>
      </c>
      <c r="Z225" s="84">
        <f t="shared" si="170"/>
        <v>0</v>
      </c>
      <c r="AA225" s="84">
        <f t="shared" si="170"/>
        <v>0</v>
      </c>
      <c r="AB225" s="84">
        <f t="shared" si="170"/>
        <v>0</v>
      </c>
      <c r="AC225" s="84">
        <f t="shared" si="170"/>
        <v>0</v>
      </c>
      <c r="AD225" s="84">
        <f t="shared" si="170"/>
        <v>0</v>
      </c>
      <c r="AE225" s="84">
        <f t="shared" si="170"/>
        <v>0</v>
      </c>
      <c r="AF225" s="84">
        <f t="shared" si="170"/>
        <v>0</v>
      </c>
      <c r="AG225" s="84">
        <f t="shared" si="170"/>
        <v>0</v>
      </c>
      <c r="AH225" s="84">
        <f t="shared" si="170"/>
        <v>0</v>
      </c>
      <c r="AI225" s="84">
        <f t="shared" si="170"/>
        <v>0</v>
      </c>
      <c r="AJ225" s="84">
        <f t="shared" si="170"/>
        <v>0</v>
      </c>
      <c r="AK225" s="84">
        <f t="shared" si="170"/>
        <v>0</v>
      </c>
      <c r="AL225" s="84">
        <f t="shared" si="170"/>
        <v>0</v>
      </c>
      <c r="AM225" s="84">
        <f t="shared" si="170"/>
        <v>0</v>
      </c>
      <c r="AN225" s="60"/>
      <c r="AO225" s="87">
        <f t="shared" si="148"/>
        <v>0</v>
      </c>
      <c r="AP225" s="60" t="b">
        <f t="shared" si="149"/>
        <v>1</v>
      </c>
    </row>
    <row r="226" spans="1:42" ht="12" customHeight="1" outlineLevel="1">
      <c r="A226" s="84">
        <v>22</v>
      </c>
      <c r="B226" s="60">
        <f t="shared" si="150"/>
        <v>2046</v>
      </c>
      <c r="C226" s="34">
        <v>0</v>
      </c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87">
        <f>IF(Y$26,MIN($C226,MAX($C226/$C$201,$C226/(Y$26/12))),0)</f>
        <v>0</v>
      </c>
      <c r="Z226" s="84">
        <f t="shared" ref="Z226:AM226" si="171">IF(AND(Z$24-$A226&lt;$C$201,Z$26&gt;0),Y226*(Z$25/12),0)</f>
        <v>0</v>
      </c>
      <c r="AA226" s="84">
        <f t="shared" si="171"/>
        <v>0</v>
      </c>
      <c r="AB226" s="84">
        <f t="shared" si="171"/>
        <v>0</v>
      </c>
      <c r="AC226" s="84">
        <f t="shared" si="171"/>
        <v>0</v>
      </c>
      <c r="AD226" s="84">
        <f t="shared" si="171"/>
        <v>0</v>
      </c>
      <c r="AE226" s="84">
        <f t="shared" si="171"/>
        <v>0</v>
      </c>
      <c r="AF226" s="84">
        <f t="shared" si="171"/>
        <v>0</v>
      </c>
      <c r="AG226" s="84">
        <f t="shared" si="171"/>
        <v>0</v>
      </c>
      <c r="AH226" s="84">
        <f t="shared" si="171"/>
        <v>0</v>
      </c>
      <c r="AI226" s="84">
        <f t="shared" si="171"/>
        <v>0</v>
      </c>
      <c r="AJ226" s="84">
        <f t="shared" si="171"/>
        <v>0</v>
      </c>
      <c r="AK226" s="84">
        <f t="shared" si="171"/>
        <v>0</v>
      </c>
      <c r="AL226" s="84">
        <f t="shared" si="171"/>
        <v>0</v>
      </c>
      <c r="AM226" s="84">
        <f t="shared" si="171"/>
        <v>0</v>
      </c>
      <c r="AN226" s="60"/>
      <c r="AO226" s="87">
        <f t="shared" si="148"/>
        <v>0</v>
      </c>
      <c r="AP226" s="60" t="b">
        <f t="shared" si="149"/>
        <v>1</v>
      </c>
    </row>
    <row r="227" spans="1:42" ht="12" customHeight="1" outlineLevel="1">
      <c r="A227" s="84">
        <v>23</v>
      </c>
      <c r="B227" s="60">
        <f t="shared" si="150"/>
        <v>2047</v>
      </c>
      <c r="C227" s="34">
        <v>0</v>
      </c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87">
        <f>IF(Z$26,MIN($C227,MAX($C227/$C$201,$C227/(Z$26/12))),0)</f>
        <v>0</v>
      </c>
      <c r="AA227" s="84">
        <f t="shared" ref="AA227:AM227" si="172">IF(AND(AA$24-$A227&lt;$C$201,AA$26&gt;0),Z227*(AA$25/12),0)</f>
        <v>0</v>
      </c>
      <c r="AB227" s="84">
        <f t="shared" si="172"/>
        <v>0</v>
      </c>
      <c r="AC227" s="84">
        <f t="shared" si="172"/>
        <v>0</v>
      </c>
      <c r="AD227" s="84">
        <f t="shared" si="172"/>
        <v>0</v>
      </c>
      <c r="AE227" s="84">
        <f t="shared" si="172"/>
        <v>0</v>
      </c>
      <c r="AF227" s="84">
        <f t="shared" si="172"/>
        <v>0</v>
      </c>
      <c r="AG227" s="84">
        <f t="shared" si="172"/>
        <v>0</v>
      </c>
      <c r="AH227" s="84">
        <f t="shared" si="172"/>
        <v>0</v>
      </c>
      <c r="AI227" s="84">
        <f t="shared" si="172"/>
        <v>0</v>
      </c>
      <c r="AJ227" s="84">
        <f t="shared" si="172"/>
        <v>0</v>
      </c>
      <c r="AK227" s="84">
        <f t="shared" si="172"/>
        <v>0</v>
      </c>
      <c r="AL227" s="84">
        <f t="shared" si="172"/>
        <v>0</v>
      </c>
      <c r="AM227" s="84">
        <f t="shared" si="172"/>
        <v>0</v>
      </c>
      <c r="AN227" s="60"/>
      <c r="AO227" s="87">
        <f t="shared" si="148"/>
        <v>0</v>
      </c>
      <c r="AP227" s="60" t="b">
        <f t="shared" si="149"/>
        <v>1</v>
      </c>
    </row>
    <row r="228" spans="1:42" ht="12" customHeight="1" outlineLevel="1">
      <c r="A228" s="84">
        <v>24</v>
      </c>
      <c r="B228" s="60">
        <f t="shared" si="150"/>
        <v>2048</v>
      </c>
      <c r="C228" s="34">
        <v>0</v>
      </c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87">
        <f>IF(AA$26,MIN($C228,MAX($C228/$C$201,$C228/(AA$26/12))),0)</f>
        <v>0</v>
      </c>
      <c r="AB228" s="84">
        <f t="shared" ref="AB228:AM228" si="173">IF(AND(AB$24-$A228&lt;$C$201,AB$26&gt;0),AA228*(AB$25/12),0)</f>
        <v>0</v>
      </c>
      <c r="AC228" s="84">
        <f t="shared" si="173"/>
        <v>0</v>
      </c>
      <c r="AD228" s="84">
        <f t="shared" si="173"/>
        <v>0</v>
      </c>
      <c r="AE228" s="84">
        <f t="shared" si="173"/>
        <v>0</v>
      </c>
      <c r="AF228" s="84">
        <f t="shared" si="173"/>
        <v>0</v>
      </c>
      <c r="AG228" s="84">
        <f t="shared" si="173"/>
        <v>0</v>
      </c>
      <c r="AH228" s="84">
        <f t="shared" si="173"/>
        <v>0</v>
      </c>
      <c r="AI228" s="84">
        <f t="shared" si="173"/>
        <v>0</v>
      </c>
      <c r="AJ228" s="84">
        <f t="shared" si="173"/>
        <v>0</v>
      </c>
      <c r="AK228" s="84">
        <f t="shared" si="173"/>
        <v>0</v>
      </c>
      <c r="AL228" s="84">
        <f t="shared" si="173"/>
        <v>0</v>
      </c>
      <c r="AM228" s="84">
        <f t="shared" si="173"/>
        <v>0</v>
      </c>
      <c r="AN228" s="60"/>
      <c r="AO228" s="87">
        <f t="shared" si="148"/>
        <v>0</v>
      </c>
      <c r="AP228" s="60" t="b">
        <f t="shared" si="149"/>
        <v>1</v>
      </c>
    </row>
    <row r="229" spans="1:42" ht="12" customHeight="1" outlineLevel="1">
      <c r="A229" s="84">
        <v>25</v>
      </c>
      <c r="B229" s="60">
        <f t="shared" si="150"/>
        <v>2049</v>
      </c>
      <c r="C229" s="34">
        <v>0</v>
      </c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87">
        <f>IF(AB$26,MIN($C229,MAX($C229/$C$201,$C229/(AB$26/12))),0)</f>
        <v>0</v>
      </c>
      <c r="AC229" s="84">
        <f t="shared" ref="AC229:AM229" si="174">IF(AND(AC$24-$A229&lt;$C$201,AC$26&gt;0),AB229*(AC$25/12),0)</f>
        <v>0</v>
      </c>
      <c r="AD229" s="84">
        <f t="shared" si="174"/>
        <v>0</v>
      </c>
      <c r="AE229" s="84">
        <f t="shared" si="174"/>
        <v>0</v>
      </c>
      <c r="AF229" s="84">
        <f t="shared" si="174"/>
        <v>0</v>
      </c>
      <c r="AG229" s="84">
        <f t="shared" si="174"/>
        <v>0</v>
      </c>
      <c r="AH229" s="84">
        <f t="shared" si="174"/>
        <v>0</v>
      </c>
      <c r="AI229" s="84">
        <f t="shared" si="174"/>
        <v>0</v>
      </c>
      <c r="AJ229" s="84">
        <f t="shared" si="174"/>
        <v>0</v>
      </c>
      <c r="AK229" s="84">
        <f t="shared" si="174"/>
        <v>0</v>
      </c>
      <c r="AL229" s="84">
        <f t="shared" si="174"/>
        <v>0</v>
      </c>
      <c r="AM229" s="84">
        <f t="shared" si="174"/>
        <v>0</v>
      </c>
      <c r="AN229" s="60"/>
      <c r="AO229" s="87">
        <f t="shared" si="148"/>
        <v>0</v>
      </c>
      <c r="AP229" s="60" t="b">
        <f t="shared" si="149"/>
        <v>1</v>
      </c>
    </row>
    <row r="230" spans="1:42" ht="12" customHeight="1" outlineLevel="1">
      <c r="A230" s="84">
        <v>26</v>
      </c>
      <c r="B230" s="60">
        <f t="shared" si="150"/>
        <v>2050</v>
      </c>
      <c r="C230" s="34">
        <v>0</v>
      </c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87">
        <f>IF(AC$26,MIN($C230,MAX($C230/$C$201,$C230/(AC$26/12))),0)</f>
        <v>0</v>
      </c>
      <c r="AD230" s="84">
        <f t="shared" ref="AD230:AM230" si="175">IF(AND(AD$24-$A230&lt;$C$201,AD$26&gt;0),AC230*(AD$25/12),0)</f>
        <v>0</v>
      </c>
      <c r="AE230" s="84">
        <f t="shared" si="175"/>
        <v>0</v>
      </c>
      <c r="AF230" s="84">
        <f t="shared" si="175"/>
        <v>0</v>
      </c>
      <c r="AG230" s="84">
        <f t="shared" si="175"/>
        <v>0</v>
      </c>
      <c r="AH230" s="84">
        <f t="shared" si="175"/>
        <v>0</v>
      </c>
      <c r="AI230" s="84">
        <f t="shared" si="175"/>
        <v>0</v>
      </c>
      <c r="AJ230" s="84">
        <f t="shared" si="175"/>
        <v>0</v>
      </c>
      <c r="AK230" s="84">
        <f t="shared" si="175"/>
        <v>0</v>
      </c>
      <c r="AL230" s="84">
        <f t="shared" si="175"/>
        <v>0</v>
      </c>
      <c r="AM230" s="84">
        <f t="shared" si="175"/>
        <v>0</v>
      </c>
      <c r="AN230" s="60"/>
      <c r="AO230" s="87">
        <f t="shared" si="148"/>
        <v>0</v>
      </c>
      <c r="AP230" s="60" t="b">
        <f t="shared" si="149"/>
        <v>1</v>
      </c>
    </row>
    <row r="231" spans="1:42" ht="12" customHeight="1" outlineLevel="1">
      <c r="A231" s="84">
        <v>27</v>
      </c>
      <c r="B231" s="60">
        <f t="shared" si="150"/>
        <v>2051</v>
      </c>
      <c r="C231" s="34">
        <v>0</v>
      </c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87">
        <f>IF(AD$26,MIN($C231,MAX($C231/$C$201,$C231/(AD$26/12))),0)</f>
        <v>0</v>
      </c>
      <c r="AE231" s="84">
        <f t="shared" ref="AE231:AM231" si="176">IF(AND(AE$24-$A231&lt;$C$201,AE$26&gt;0),AD231*(AE$25/12),0)</f>
        <v>0</v>
      </c>
      <c r="AF231" s="84">
        <f t="shared" si="176"/>
        <v>0</v>
      </c>
      <c r="AG231" s="84">
        <f t="shared" si="176"/>
        <v>0</v>
      </c>
      <c r="AH231" s="84">
        <f t="shared" si="176"/>
        <v>0</v>
      </c>
      <c r="AI231" s="84">
        <f t="shared" si="176"/>
        <v>0</v>
      </c>
      <c r="AJ231" s="84">
        <f t="shared" si="176"/>
        <v>0</v>
      </c>
      <c r="AK231" s="84">
        <f t="shared" si="176"/>
        <v>0</v>
      </c>
      <c r="AL231" s="84">
        <f t="shared" si="176"/>
        <v>0</v>
      </c>
      <c r="AM231" s="84">
        <f t="shared" si="176"/>
        <v>0</v>
      </c>
      <c r="AN231" s="60"/>
      <c r="AO231" s="87">
        <f t="shared" si="148"/>
        <v>0</v>
      </c>
      <c r="AP231" s="60" t="b">
        <f t="shared" si="149"/>
        <v>1</v>
      </c>
    </row>
    <row r="232" spans="1:42" ht="12" customHeight="1" outlineLevel="1">
      <c r="A232" s="84">
        <v>28</v>
      </c>
      <c r="B232" s="60">
        <f t="shared" si="150"/>
        <v>2052</v>
      </c>
      <c r="C232" s="34">
        <v>0</v>
      </c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87">
        <f>IF(AE$26,MIN($C232,MAX($C232/$C$201,$C232/(AE$26/12))),0)</f>
        <v>0</v>
      </c>
      <c r="AF232" s="84">
        <f t="shared" ref="AF232:AM232" si="177">IF(AND(AF$24-$A232&lt;$C$201,AF$26&gt;0),AE232*(AF$25/12),0)</f>
        <v>0</v>
      </c>
      <c r="AG232" s="84">
        <f t="shared" si="177"/>
        <v>0</v>
      </c>
      <c r="AH232" s="84">
        <f t="shared" si="177"/>
        <v>0</v>
      </c>
      <c r="AI232" s="84">
        <f t="shared" si="177"/>
        <v>0</v>
      </c>
      <c r="AJ232" s="84">
        <f t="shared" si="177"/>
        <v>0</v>
      </c>
      <c r="AK232" s="84">
        <f t="shared" si="177"/>
        <v>0</v>
      </c>
      <c r="AL232" s="84">
        <f t="shared" si="177"/>
        <v>0</v>
      </c>
      <c r="AM232" s="84">
        <f t="shared" si="177"/>
        <v>0</v>
      </c>
      <c r="AN232" s="60"/>
      <c r="AO232" s="87">
        <f t="shared" si="148"/>
        <v>0</v>
      </c>
      <c r="AP232" s="60" t="b">
        <f t="shared" si="149"/>
        <v>1</v>
      </c>
    </row>
    <row r="233" spans="1:42" ht="12" customHeight="1" outlineLevel="1">
      <c r="A233" s="84">
        <v>29</v>
      </c>
      <c r="B233" s="60">
        <f t="shared" si="150"/>
        <v>2053</v>
      </c>
      <c r="C233" s="34">
        <v>0</v>
      </c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87">
        <f>IF(AF$26,MIN($C233,MAX($C233/$C$201,$C233/(AF$26/12))),0)</f>
        <v>0</v>
      </c>
      <c r="AG233" s="84">
        <f t="shared" ref="AG233:AM233" si="178">IF(AND(AG$24-$A233&lt;$C$201,AG$26&gt;0),AF233*(AG$25/12),0)</f>
        <v>0</v>
      </c>
      <c r="AH233" s="84">
        <f t="shared" si="178"/>
        <v>0</v>
      </c>
      <c r="AI233" s="84">
        <f t="shared" si="178"/>
        <v>0</v>
      </c>
      <c r="AJ233" s="84">
        <f t="shared" si="178"/>
        <v>0</v>
      </c>
      <c r="AK233" s="84">
        <f t="shared" si="178"/>
        <v>0</v>
      </c>
      <c r="AL233" s="84">
        <f t="shared" si="178"/>
        <v>0</v>
      </c>
      <c r="AM233" s="84">
        <f t="shared" si="178"/>
        <v>0</v>
      </c>
      <c r="AN233" s="60"/>
      <c r="AO233" s="87">
        <f t="shared" si="148"/>
        <v>0</v>
      </c>
      <c r="AP233" s="60" t="b">
        <f t="shared" si="149"/>
        <v>1</v>
      </c>
    </row>
    <row r="234" spans="1:42" ht="12" customHeight="1" outlineLevel="1">
      <c r="A234" s="84">
        <v>30</v>
      </c>
      <c r="B234" s="60">
        <f t="shared" si="150"/>
        <v>2054</v>
      </c>
      <c r="C234" s="34">
        <v>0</v>
      </c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87">
        <f>IF(AG$26,MIN($C234,MAX($C234/$C$201,$C234/(AG$26/12))),0)</f>
        <v>0</v>
      </c>
      <c r="AH234" s="84">
        <f t="shared" ref="AH234:AM234" si="179">IF(AND(AH$24-$A234&lt;$C$201,AH$26&gt;0),AG234*(AH$25/12),0)</f>
        <v>0</v>
      </c>
      <c r="AI234" s="84">
        <f t="shared" si="179"/>
        <v>0</v>
      </c>
      <c r="AJ234" s="84">
        <f t="shared" si="179"/>
        <v>0</v>
      </c>
      <c r="AK234" s="84">
        <f t="shared" si="179"/>
        <v>0</v>
      </c>
      <c r="AL234" s="84">
        <f t="shared" si="179"/>
        <v>0</v>
      </c>
      <c r="AM234" s="84">
        <f t="shared" si="179"/>
        <v>0</v>
      </c>
      <c r="AN234" s="60"/>
      <c r="AO234" s="87">
        <f t="shared" si="148"/>
        <v>0</v>
      </c>
      <c r="AP234" s="60" t="b">
        <f t="shared" si="149"/>
        <v>1</v>
      </c>
    </row>
    <row r="235" spans="1:42" ht="12" customHeight="1" outlineLevel="1">
      <c r="A235" s="84">
        <v>31</v>
      </c>
      <c r="B235" s="60">
        <f t="shared" si="150"/>
        <v>2055</v>
      </c>
      <c r="C235" s="34">
        <v>0</v>
      </c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87">
        <f>IF(AH$26,MIN($C235,MAX($C235/$C$201,$C235/(AH$26/12))),0)</f>
        <v>0</v>
      </c>
      <c r="AI235" s="84">
        <f>IF(AND(AI$24-$A235&lt;$C$201,AI$26&gt;0),AH235*(AI$25/12),0)</f>
        <v>0</v>
      </c>
      <c r="AJ235" s="84">
        <f>IF(AND(AJ$24-$A235&lt;$C$201,AJ$26&gt;0),AI235*(AJ$25/12),0)</f>
        <v>0</v>
      </c>
      <c r="AK235" s="84">
        <f>IF(AND(AK$24-$A235&lt;$C$201,AK$26&gt;0),AJ235*(AK$25/12),0)</f>
        <v>0</v>
      </c>
      <c r="AL235" s="84">
        <f>IF(AND(AL$24-$A235&lt;$C$201,AL$26&gt;0),AK235*(AL$25/12),0)</f>
        <v>0</v>
      </c>
      <c r="AM235" s="84">
        <f>IF(AND(AM$24-$A235&lt;$C$201,AM$26&gt;0),AL235*(AM$25/12),0)</f>
        <v>0</v>
      </c>
      <c r="AN235" s="60"/>
      <c r="AO235" s="87">
        <f t="shared" si="148"/>
        <v>0</v>
      </c>
      <c r="AP235" s="60" t="b">
        <f t="shared" si="149"/>
        <v>1</v>
      </c>
    </row>
    <row r="236" spans="1:42" ht="12" customHeight="1" outlineLevel="1">
      <c r="A236" s="84">
        <v>32</v>
      </c>
      <c r="B236" s="60">
        <f t="shared" si="150"/>
        <v>2056</v>
      </c>
      <c r="C236" s="34">
        <v>0</v>
      </c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87">
        <f>IF(AI$26,MIN($C236,MAX($C236/$C$201,$C236/(AI$26/12))),0)</f>
        <v>0</v>
      </c>
      <c r="AJ236" s="84">
        <f>IF(AND(AJ$24-$A236&lt;$C$201,AJ$26&gt;0),AI236*(AJ$25/12),0)</f>
        <v>0</v>
      </c>
      <c r="AK236" s="84">
        <f>IF(AND(AK$24-$A236&lt;$C$201,AK$26&gt;0),AJ236*(AK$25/12),0)</f>
        <v>0</v>
      </c>
      <c r="AL236" s="84">
        <f>IF(AND(AL$24-$A236&lt;$C$201,AL$26&gt;0),AK236*(AL$25/12),0)</f>
        <v>0</v>
      </c>
      <c r="AM236" s="84">
        <f>IF(AND(AM$24-$A236&lt;$C$201,AM$26&gt;0),AL236*(AM$25/12),0)</f>
        <v>0</v>
      </c>
      <c r="AN236" s="60"/>
      <c r="AO236" s="87">
        <f t="shared" si="148"/>
        <v>0</v>
      </c>
      <c r="AP236" s="60" t="b">
        <f t="shared" si="149"/>
        <v>1</v>
      </c>
    </row>
    <row r="237" spans="1:42" ht="12" customHeight="1" outlineLevel="1">
      <c r="A237" s="84">
        <v>33</v>
      </c>
      <c r="B237" s="60">
        <f t="shared" si="150"/>
        <v>2057</v>
      </c>
      <c r="C237" s="34">
        <v>0</v>
      </c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87">
        <f>IF(AJ$26,MIN($C237,MAX($C237/$C$201,$C237/(AJ$26/12))),0)</f>
        <v>0</v>
      </c>
      <c r="AK237" s="84">
        <f>IF(AND(AK$24-$A237&lt;$C$201,AK$26&gt;0),AJ237*(AK$25/12),0)</f>
        <v>0</v>
      </c>
      <c r="AL237" s="84">
        <f>IF(AND(AL$24-$A237&lt;$C$201,AL$26&gt;0),AK237*(AL$25/12),0)</f>
        <v>0</v>
      </c>
      <c r="AM237" s="84">
        <f>IF(AND(AM$24-$A237&lt;$C$201,AM$26&gt;0),AL237*(AM$25/12),0)</f>
        <v>0</v>
      </c>
      <c r="AN237" s="60"/>
      <c r="AO237" s="87">
        <f t="shared" si="148"/>
        <v>0</v>
      </c>
      <c r="AP237" s="60" t="b">
        <f t="shared" si="149"/>
        <v>1</v>
      </c>
    </row>
    <row r="238" spans="1:42" ht="12" customHeight="1" outlineLevel="1">
      <c r="A238" s="84">
        <v>34</v>
      </c>
      <c r="B238" s="60">
        <f t="shared" si="150"/>
        <v>2058</v>
      </c>
      <c r="C238" s="34">
        <v>0</v>
      </c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87">
        <f>IF(AK$26,MIN($C238,MAX($C238/$C$201,$C238/(AK$26/12))),0)</f>
        <v>0</v>
      </c>
      <c r="AL238" s="84">
        <f>IF(AND(AL$24-$A238&lt;$C$201,AL$26&gt;0),AK238*(AL$25/12),0)</f>
        <v>0</v>
      </c>
      <c r="AM238" s="84">
        <f>IF(AND(AM$24-$A238&lt;$C$201,AM$26&gt;0),AL238*(AM$25/12),0)</f>
        <v>0</v>
      </c>
      <c r="AN238" s="60"/>
      <c r="AO238" s="87">
        <f t="shared" si="148"/>
        <v>0</v>
      </c>
      <c r="AP238" s="60" t="b">
        <f t="shared" si="149"/>
        <v>1</v>
      </c>
    </row>
    <row r="239" spans="1:42" ht="12" customHeight="1" outlineLevel="1">
      <c r="A239" s="84">
        <v>35</v>
      </c>
      <c r="B239" s="60">
        <f t="shared" si="150"/>
        <v>2059</v>
      </c>
      <c r="C239" s="34">
        <v>0</v>
      </c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87">
        <f>IF(AL$26,MIN($C239,MAX($C239/$C$201,$C239/(AL$26/12))),0)</f>
        <v>0</v>
      </c>
      <c r="AM239" s="84">
        <f>IF(AND(AM$24-$A239&lt;$C$201,AM$26&gt;0),AL239*(AM$25/12),0)</f>
        <v>0</v>
      </c>
      <c r="AN239" s="60"/>
      <c r="AO239" s="87">
        <f t="shared" si="148"/>
        <v>0</v>
      </c>
      <c r="AP239" s="60" t="b">
        <f t="shared" si="149"/>
        <v>1</v>
      </c>
    </row>
    <row r="240" spans="1:42" ht="12" customHeight="1" outlineLevel="1">
      <c r="A240" s="128">
        <v>36</v>
      </c>
      <c r="B240" s="129">
        <f t="shared" si="150"/>
        <v>2060</v>
      </c>
      <c r="C240" s="130">
        <v>0</v>
      </c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31"/>
      <c r="AM240" s="131">
        <f>IF(AM$26,MIN($C240,MAX($C240/$C$201,$C240/(AM$26/12))),0)</f>
        <v>0</v>
      </c>
      <c r="AN240" s="60"/>
      <c r="AO240" s="131">
        <f t="shared" si="148"/>
        <v>0</v>
      </c>
      <c r="AP240" s="129" t="b">
        <f t="shared" si="149"/>
        <v>1</v>
      </c>
    </row>
    <row r="241" spans="1:42" ht="12" customHeight="1">
      <c r="A241" s="84"/>
      <c r="B241" s="60"/>
      <c r="C241" s="132">
        <f>SUM(C205:C239)</f>
        <v>0</v>
      </c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87">
        <f>SUM(AO205:AO240)</f>
        <v>0</v>
      </c>
      <c r="AP241" s="60" t="b">
        <f t="shared" si="149"/>
        <v>1</v>
      </c>
    </row>
    <row r="242" spans="1:42" ht="12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</row>
    <row r="243" spans="1:42" ht="12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</row>
    <row r="244" spans="1:42" ht="12" customHeight="1">
      <c r="A244" s="60"/>
      <c r="B244" s="60"/>
      <c r="C244" s="121" t="s">
        <v>458</v>
      </c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</row>
    <row r="245" spans="1:42" ht="12" customHeight="1">
      <c r="A245" s="60"/>
      <c r="B245" s="60"/>
      <c r="C245" s="122">
        <v>30</v>
      </c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</row>
    <row r="246" spans="1:42" ht="12" customHeight="1">
      <c r="A246" s="60"/>
      <c r="B246" s="60"/>
      <c r="C246" s="121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</row>
    <row r="247" spans="1:42" ht="12" customHeight="1">
      <c r="A247" s="123"/>
      <c r="B247" s="124" t="s">
        <v>459</v>
      </c>
      <c r="C247" s="125"/>
      <c r="D247" s="119">
        <f>SUMIF(CAPEX!$B$12:$B$16,Amt!$C$245,CAPEX!E$12:E$16)</f>
        <v>8874.6598476666677</v>
      </c>
      <c r="E247" s="119">
        <f>SUMIF(CAPEX!$B$12:$B$16,Amt!$C$245,CAPEX!F$12:F$16)</f>
        <v>6698.9055183333339</v>
      </c>
      <c r="F247" s="119">
        <f>SUMIF(CAPEX!$B$12:$B$16,Amt!$C$245,CAPEX!G$12:G$16)</f>
        <v>0</v>
      </c>
      <c r="G247" s="119">
        <f>SUMIF(CAPEX!$B$12:$B$16,Amt!$C$245,CAPEX!H$12:H$16)</f>
        <v>0</v>
      </c>
      <c r="H247" s="119">
        <f>SUMIF(CAPEX!$B$12:$B$16,Amt!$C$245,CAPEX!I$12:I$16)</f>
        <v>0</v>
      </c>
      <c r="I247" s="119">
        <f>SUMIF(CAPEX!$B$12:$B$16,Amt!$C$245,CAPEX!J$12:J$16)</f>
        <v>0</v>
      </c>
      <c r="J247" s="119">
        <f>SUMIF(CAPEX!$B$12:$B$16,Amt!$C$245,CAPEX!K$12:K$16)</f>
        <v>0</v>
      </c>
      <c r="K247" s="119">
        <f>SUMIF(CAPEX!$B$12:$B$16,Amt!$C$245,CAPEX!L$12:L$16)</f>
        <v>0</v>
      </c>
      <c r="L247" s="119">
        <f>SUMIF(CAPEX!$B$12:$B$16,Amt!$C$245,CAPEX!M$12:M$16)</f>
        <v>0</v>
      </c>
      <c r="M247" s="119">
        <f>SUMIF(CAPEX!$B$12:$B$16,Amt!$C$245,CAPEX!N$12:N$16)</f>
        <v>0</v>
      </c>
      <c r="N247" s="119">
        <f>SUMIF(CAPEX!$B$12:$B$16,Amt!$C$245,CAPEX!O$12:O$16)</f>
        <v>0</v>
      </c>
      <c r="O247" s="119">
        <f>SUMIF(CAPEX!$B$12:$B$16,Amt!$C$245,CAPEX!P$12:P$16)</f>
        <v>0</v>
      </c>
      <c r="P247" s="119">
        <f>SUMIF(CAPEX!$B$12:$B$16,Amt!$C$245,CAPEX!Q$12:Q$16)</f>
        <v>0</v>
      </c>
      <c r="Q247" s="119">
        <f>SUMIF(CAPEX!$B$12:$B$16,Amt!$C$245,CAPEX!R$12:R$16)</f>
        <v>0</v>
      </c>
      <c r="R247" s="119">
        <f>SUMIF(CAPEX!$B$12:$B$16,Amt!$C$245,CAPEX!S$12:S$16)</f>
        <v>0</v>
      </c>
      <c r="S247" s="119">
        <f>SUMIF(CAPEX!$B$12:$B$16,Amt!$C$245,CAPEX!T$12:T$16)</f>
        <v>0</v>
      </c>
      <c r="T247" s="119">
        <f>SUMIF(CAPEX!$B$12:$B$16,Amt!$C$245,CAPEX!U$12:U$16)</f>
        <v>0</v>
      </c>
      <c r="U247" s="119">
        <f>SUMIF(CAPEX!$B$12:$B$16,Amt!$C$245,CAPEX!V$12:V$16)</f>
        <v>0</v>
      </c>
      <c r="V247" s="119">
        <f>SUMIF(CAPEX!$B$12:$B$16,Amt!$C$245,CAPEX!W$12:W$16)</f>
        <v>0</v>
      </c>
      <c r="W247" s="119">
        <f>SUMIF(CAPEX!$B$12:$B$16,Amt!$C$245,CAPEX!X$12:X$16)</f>
        <v>0</v>
      </c>
      <c r="X247" s="119">
        <f>SUMIF(CAPEX!$B$12:$B$16,Amt!$C$245,CAPEX!Y$12:Y$16)</f>
        <v>0</v>
      </c>
      <c r="Y247" s="119">
        <f>SUMIF(CAPEX!$B$12:$B$16,Amt!$C$245,CAPEX!Z$12:Z$16)</f>
        <v>0</v>
      </c>
      <c r="Z247" s="119">
        <f>SUMIF(CAPEX!$B$12:$B$16,Amt!$C$245,CAPEX!AA$12:AA$16)</f>
        <v>0</v>
      </c>
      <c r="AA247" s="119">
        <f>SUMIF(CAPEX!$B$12:$B$16,Amt!$C$245,CAPEX!AB$12:AB$16)</f>
        <v>0</v>
      </c>
      <c r="AB247" s="119">
        <f>SUMIF(CAPEX!$B$12:$B$16,Amt!$C$245,CAPEX!AC$12:AC$16)</f>
        <v>0</v>
      </c>
      <c r="AC247" s="119">
        <f>SUMIF(CAPEX!$B$12:$B$16,Amt!$C$245,CAPEX!AD$12:AD$16)</f>
        <v>0</v>
      </c>
      <c r="AD247" s="119">
        <f>SUMIF(CAPEX!$B$12:$B$16,Amt!$C$245,CAPEX!AE$12:AE$16)</f>
        <v>0</v>
      </c>
      <c r="AE247" s="119">
        <f>SUMIF(CAPEX!$B$12:$B$16,Amt!$C$245,CAPEX!AF$12:AF$16)</f>
        <v>0</v>
      </c>
      <c r="AF247" s="119">
        <f>SUMIF(CAPEX!$B$12:$B$16,Amt!$C$245,CAPEX!AG$12:AG$16)</f>
        <v>0</v>
      </c>
      <c r="AG247" s="119">
        <f>SUMIF(CAPEX!$B$12:$B$16,Amt!$C$245,CAPEX!AH$12:AH$16)</f>
        <v>0</v>
      </c>
      <c r="AH247" s="119">
        <f>SUMIF(CAPEX!$B$12:$B$16,Amt!$C$245,CAPEX!AI$12:AI$16)</f>
        <v>0</v>
      </c>
      <c r="AI247" s="119">
        <f>SUMIF(CAPEX!$B$12:$B$16,Amt!$C$245,CAPEX!AJ$12:AJ$16)</f>
        <v>0</v>
      </c>
      <c r="AJ247" s="119">
        <f>SUMIF(CAPEX!$B$12:$B$16,Amt!$C$245,CAPEX!AK$12:AK$16)</f>
        <v>0</v>
      </c>
      <c r="AK247" s="119">
        <f>SUMIF(CAPEX!$B$12:$B$16,Amt!$C$245,CAPEX!AL$12:AL$16)</f>
        <v>0</v>
      </c>
      <c r="AL247" s="119">
        <f>SUMIF(CAPEX!$B$12:$B$16,Amt!$C$245,CAPEX!AM$12:AM$16)</f>
        <v>0</v>
      </c>
      <c r="AM247" s="119">
        <f>SUMIF(CAPEX!$B$12:$B$16,Amt!$C$245,CAPEX!AN$12:AN$16)</f>
        <v>0</v>
      </c>
      <c r="AN247" s="60"/>
      <c r="AO247" s="60"/>
      <c r="AP247" s="60"/>
    </row>
    <row r="248" spans="1:42" ht="12" customHeight="1">
      <c r="A248" s="60"/>
      <c r="B248" s="124" t="s">
        <v>124</v>
      </c>
      <c r="C248" s="125"/>
      <c r="D248" s="119">
        <f t="shared" ref="D248:AM248" si="180">SUM(D249:D283)</f>
        <v>295.82199492222225</v>
      </c>
      <c r="E248" s="119">
        <f t="shared" si="180"/>
        <v>526.81873693371654</v>
      </c>
      <c r="F248" s="119">
        <f t="shared" si="180"/>
        <v>526.81873693371654</v>
      </c>
      <c r="G248" s="119">
        <f t="shared" si="180"/>
        <v>526.81873693371654</v>
      </c>
      <c r="H248" s="119">
        <f t="shared" si="180"/>
        <v>526.81873693371654</v>
      </c>
      <c r="I248" s="119">
        <f t="shared" si="180"/>
        <v>526.81873693371654</v>
      </c>
      <c r="J248" s="119">
        <f t="shared" si="180"/>
        <v>526.81873693371654</v>
      </c>
      <c r="K248" s="119">
        <f t="shared" si="180"/>
        <v>526.81873693371654</v>
      </c>
      <c r="L248" s="119">
        <f t="shared" si="180"/>
        <v>526.81873693371654</v>
      </c>
      <c r="M248" s="119">
        <f t="shared" si="180"/>
        <v>526.81873693371654</v>
      </c>
      <c r="N248" s="119">
        <f t="shared" si="180"/>
        <v>526.81873693371654</v>
      </c>
      <c r="O248" s="119">
        <f t="shared" si="180"/>
        <v>526.81873693371654</v>
      </c>
      <c r="P248" s="119">
        <f t="shared" si="180"/>
        <v>526.81873693371654</v>
      </c>
      <c r="Q248" s="119">
        <f t="shared" si="180"/>
        <v>526.81873693371654</v>
      </c>
      <c r="R248" s="119">
        <f t="shared" si="180"/>
        <v>526.81873693371654</v>
      </c>
      <c r="S248" s="119">
        <f t="shared" si="180"/>
        <v>526.81873693371654</v>
      </c>
      <c r="T248" s="119">
        <f t="shared" si="180"/>
        <v>526.81873693371654</v>
      </c>
      <c r="U248" s="119">
        <f t="shared" si="180"/>
        <v>526.81873693371654</v>
      </c>
      <c r="V248" s="119">
        <f t="shared" si="180"/>
        <v>526.81873693371654</v>
      </c>
      <c r="W248" s="119">
        <f t="shared" si="180"/>
        <v>526.81873693371654</v>
      </c>
      <c r="X248" s="119">
        <f t="shared" si="180"/>
        <v>526.81873693371654</v>
      </c>
      <c r="Y248" s="119">
        <f t="shared" si="180"/>
        <v>526.81873693371654</v>
      </c>
      <c r="Z248" s="119">
        <f t="shared" si="180"/>
        <v>526.81873693371654</v>
      </c>
      <c r="AA248" s="119">
        <f t="shared" si="180"/>
        <v>526.81873693371654</v>
      </c>
      <c r="AB248" s="119">
        <f t="shared" si="180"/>
        <v>526.81873693371654</v>
      </c>
      <c r="AC248" s="119">
        <f t="shared" si="180"/>
        <v>526.81873693371654</v>
      </c>
      <c r="AD248" s="119">
        <f t="shared" si="180"/>
        <v>526.81873693371654</v>
      </c>
      <c r="AE248" s="119">
        <f t="shared" si="180"/>
        <v>526.81873693371654</v>
      </c>
      <c r="AF248" s="119">
        <f t="shared" si="180"/>
        <v>526.81873693371654</v>
      </c>
      <c r="AG248" s="119">
        <f t="shared" si="180"/>
        <v>526.81873693371654</v>
      </c>
      <c r="AH248" s="119">
        <f t="shared" si="180"/>
        <v>0</v>
      </c>
      <c r="AI248" s="119">
        <f t="shared" si="180"/>
        <v>0</v>
      </c>
      <c r="AJ248" s="119">
        <f t="shared" si="180"/>
        <v>0</v>
      </c>
      <c r="AK248" s="119">
        <f t="shared" si="180"/>
        <v>0</v>
      </c>
      <c r="AL248" s="119">
        <f t="shared" si="180"/>
        <v>0</v>
      </c>
      <c r="AM248" s="119">
        <f t="shared" si="180"/>
        <v>0</v>
      </c>
      <c r="AN248" s="60"/>
      <c r="AO248" s="60"/>
      <c r="AP248" s="60"/>
    </row>
    <row r="249" spans="1:42" ht="12" customHeight="1" outlineLevel="1">
      <c r="A249" s="84">
        <v>1</v>
      </c>
      <c r="B249" s="60">
        <f>$D$1</f>
        <v>2025</v>
      </c>
      <c r="C249" s="34">
        <f t="array" ref="C249:C284">TRANSPOSE(D247:AM247)</f>
        <v>8874.6598476666677</v>
      </c>
      <c r="D249" s="87">
        <f>IF(D$26,MIN($C249,MAX($C249/$C$245,$C249/(D$26/12))),0)</f>
        <v>295.82199492222225</v>
      </c>
      <c r="E249" s="84">
        <f t="shared" ref="E249:AM250" si="181">IF(AND(E$24-$A249&lt;$C$245,E$26&gt;0),D249*(E$25/12),0)</f>
        <v>295.82199492222225</v>
      </c>
      <c r="F249" s="84">
        <f t="shared" si="181"/>
        <v>295.82199492222225</v>
      </c>
      <c r="G249" s="84">
        <f t="shared" si="181"/>
        <v>295.82199492222225</v>
      </c>
      <c r="H249" s="84">
        <f t="shared" si="181"/>
        <v>295.82199492222225</v>
      </c>
      <c r="I249" s="84">
        <f t="shared" si="181"/>
        <v>295.82199492222225</v>
      </c>
      <c r="J249" s="84">
        <f t="shared" si="181"/>
        <v>295.82199492222225</v>
      </c>
      <c r="K249" s="84">
        <f t="shared" si="181"/>
        <v>295.82199492222225</v>
      </c>
      <c r="L249" s="84">
        <f t="shared" si="181"/>
        <v>295.82199492222225</v>
      </c>
      <c r="M249" s="84">
        <f t="shared" si="181"/>
        <v>295.82199492222225</v>
      </c>
      <c r="N249" s="84">
        <f t="shared" si="181"/>
        <v>295.82199492222225</v>
      </c>
      <c r="O249" s="84">
        <f t="shared" si="181"/>
        <v>295.82199492222225</v>
      </c>
      <c r="P249" s="84">
        <f t="shared" si="181"/>
        <v>295.82199492222225</v>
      </c>
      <c r="Q249" s="84">
        <f t="shared" si="181"/>
        <v>295.82199492222225</v>
      </c>
      <c r="R249" s="84">
        <f t="shared" si="181"/>
        <v>295.82199492222225</v>
      </c>
      <c r="S249" s="84">
        <f t="shared" si="181"/>
        <v>295.82199492222225</v>
      </c>
      <c r="T249" s="84">
        <f t="shared" si="181"/>
        <v>295.82199492222225</v>
      </c>
      <c r="U249" s="84">
        <f t="shared" si="181"/>
        <v>295.82199492222225</v>
      </c>
      <c r="V249" s="84">
        <f t="shared" si="181"/>
        <v>295.82199492222225</v>
      </c>
      <c r="W249" s="84">
        <f t="shared" si="181"/>
        <v>295.82199492222225</v>
      </c>
      <c r="X249" s="84">
        <f t="shared" si="181"/>
        <v>295.82199492222225</v>
      </c>
      <c r="Y249" s="84">
        <f t="shared" si="181"/>
        <v>295.82199492222225</v>
      </c>
      <c r="Z249" s="84">
        <f t="shared" si="181"/>
        <v>295.82199492222225</v>
      </c>
      <c r="AA249" s="84">
        <f t="shared" si="181"/>
        <v>295.82199492222225</v>
      </c>
      <c r="AB249" s="84">
        <f t="shared" si="181"/>
        <v>295.82199492222225</v>
      </c>
      <c r="AC249" s="84">
        <f t="shared" si="181"/>
        <v>295.82199492222225</v>
      </c>
      <c r="AD249" s="84">
        <f t="shared" si="181"/>
        <v>295.82199492222225</v>
      </c>
      <c r="AE249" s="84">
        <f t="shared" si="181"/>
        <v>295.82199492222225</v>
      </c>
      <c r="AF249" s="84">
        <f t="shared" si="181"/>
        <v>295.82199492222225</v>
      </c>
      <c r="AG249" s="84">
        <f t="shared" si="181"/>
        <v>295.82199492222225</v>
      </c>
      <c r="AH249" s="84">
        <f t="shared" si="181"/>
        <v>0</v>
      </c>
      <c r="AI249" s="84">
        <f t="shared" si="181"/>
        <v>0</v>
      </c>
      <c r="AJ249" s="84">
        <f t="shared" si="181"/>
        <v>0</v>
      </c>
      <c r="AK249" s="84">
        <f t="shared" si="181"/>
        <v>0</v>
      </c>
      <c r="AL249" s="84">
        <f t="shared" si="181"/>
        <v>0</v>
      </c>
      <c r="AM249" s="84">
        <f t="shared" si="181"/>
        <v>0</v>
      </c>
      <c r="AN249" s="60"/>
      <c r="AO249" s="126">
        <f t="shared" ref="AO249:AO284" si="182">SUM(D249:AM249)</f>
        <v>8874.6598476666641</v>
      </c>
      <c r="AP249" s="127" t="b">
        <f t="shared" ref="AP249:AP285" si="183">AO249=C249</f>
        <v>0</v>
      </c>
    </row>
    <row r="250" spans="1:42" ht="12" customHeight="1" outlineLevel="1">
      <c r="A250" s="84">
        <v>2</v>
      </c>
      <c r="B250" s="60">
        <f t="shared" ref="B250:B284" si="184">B249+1</f>
        <v>2026</v>
      </c>
      <c r="C250" s="34">
        <v>6698.9055183333339</v>
      </c>
      <c r="D250" s="60"/>
      <c r="E250" s="87">
        <f>IF(E$26,MIN($C250,MAX($C250/$C$245,$C250/(E$26/12))),0)</f>
        <v>230.99674201149426</v>
      </c>
      <c r="F250" s="84">
        <f t="shared" ref="F250:AI250" si="185">IF(AND(F$24-$A250&lt;$C$245,F$26&gt;0),E250*(F$25/12),0)</f>
        <v>230.99674201149426</v>
      </c>
      <c r="G250" s="84">
        <f t="shared" si="185"/>
        <v>230.99674201149426</v>
      </c>
      <c r="H250" s="84">
        <f t="shared" si="185"/>
        <v>230.99674201149426</v>
      </c>
      <c r="I250" s="84">
        <f t="shared" si="185"/>
        <v>230.99674201149426</v>
      </c>
      <c r="J250" s="84">
        <f t="shared" si="185"/>
        <v>230.99674201149426</v>
      </c>
      <c r="K250" s="84">
        <f t="shared" si="185"/>
        <v>230.99674201149426</v>
      </c>
      <c r="L250" s="84">
        <f t="shared" si="185"/>
        <v>230.99674201149426</v>
      </c>
      <c r="M250" s="84">
        <f t="shared" si="185"/>
        <v>230.99674201149426</v>
      </c>
      <c r="N250" s="84">
        <f t="shared" si="185"/>
        <v>230.99674201149426</v>
      </c>
      <c r="O250" s="84">
        <f t="shared" si="185"/>
        <v>230.99674201149426</v>
      </c>
      <c r="P250" s="84">
        <f t="shared" si="185"/>
        <v>230.99674201149426</v>
      </c>
      <c r="Q250" s="84">
        <f t="shared" si="185"/>
        <v>230.99674201149426</v>
      </c>
      <c r="R250" s="84">
        <f t="shared" si="185"/>
        <v>230.99674201149426</v>
      </c>
      <c r="S250" s="84">
        <f t="shared" si="185"/>
        <v>230.99674201149426</v>
      </c>
      <c r="T250" s="84">
        <f t="shared" si="185"/>
        <v>230.99674201149426</v>
      </c>
      <c r="U250" s="84">
        <f t="shared" si="185"/>
        <v>230.99674201149426</v>
      </c>
      <c r="V250" s="84">
        <f t="shared" si="185"/>
        <v>230.99674201149426</v>
      </c>
      <c r="W250" s="84">
        <f t="shared" si="185"/>
        <v>230.99674201149426</v>
      </c>
      <c r="X250" s="84">
        <f t="shared" si="185"/>
        <v>230.99674201149426</v>
      </c>
      <c r="Y250" s="84">
        <f t="shared" si="185"/>
        <v>230.99674201149426</v>
      </c>
      <c r="Z250" s="84">
        <f t="shared" si="185"/>
        <v>230.99674201149426</v>
      </c>
      <c r="AA250" s="84">
        <f t="shared" si="185"/>
        <v>230.99674201149426</v>
      </c>
      <c r="AB250" s="84">
        <f t="shared" si="185"/>
        <v>230.99674201149426</v>
      </c>
      <c r="AC250" s="84">
        <f t="shared" si="185"/>
        <v>230.99674201149426</v>
      </c>
      <c r="AD250" s="84">
        <f t="shared" si="185"/>
        <v>230.99674201149426</v>
      </c>
      <c r="AE250" s="84">
        <f t="shared" si="185"/>
        <v>230.99674201149426</v>
      </c>
      <c r="AF250" s="84">
        <f t="shared" si="185"/>
        <v>230.99674201149426</v>
      </c>
      <c r="AG250" s="84">
        <f t="shared" si="185"/>
        <v>230.99674201149426</v>
      </c>
      <c r="AH250" s="84">
        <f t="shared" si="185"/>
        <v>0</v>
      </c>
      <c r="AI250" s="84">
        <f t="shared" si="185"/>
        <v>0</v>
      </c>
      <c r="AJ250" s="84">
        <f t="shared" si="181"/>
        <v>0</v>
      </c>
      <c r="AK250" s="84">
        <f t="shared" si="181"/>
        <v>0</v>
      </c>
      <c r="AL250" s="84">
        <f t="shared" si="181"/>
        <v>0</v>
      </c>
      <c r="AM250" s="84">
        <f t="shared" si="181"/>
        <v>0</v>
      </c>
      <c r="AN250" s="60"/>
      <c r="AO250" s="87">
        <f t="shared" si="182"/>
        <v>6698.9055183333376</v>
      </c>
      <c r="AP250" s="60" t="b">
        <f t="shared" si="183"/>
        <v>0</v>
      </c>
    </row>
    <row r="251" spans="1:42" ht="12" customHeight="1" outlineLevel="1">
      <c r="A251" s="84">
        <v>3</v>
      </c>
      <c r="B251" s="60">
        <f t="shared" si="184"/>
        <v>2027</v>
      </c>
      <c r="C251" s="34">
        <v>0</v>
      </c>
      <c r="D251" s="60"/>
      <c r="E251" s="60"/>
      <c r="F251" s="87">
        <f>IF(F$26,MIN($C251,MAX($C251/$C$245,$C251/(F$26/12))),0)</f>
        <v>0</v>
      </c>
      <c r="G251" s="84">
        <f t="shared" ref="G251:AM251" si="186">IF(AND(G$24-$A251&lt;$C$245,G$26&gt;0),F251*(G$25/12),0)</f>
        <v>0</v>
      </c>
      <c r="H251" s="84">
        <f t="shared" si="186"/>
        <v>0</v>
      </c>
      <c r="I251" s="84">
        <f t="shared" si="186"/>
        <v>0</v>
      </c>
      <c r="J251" s="84">
        <f t="shared" si="186"/>
        <v>0</v>
      </c>
      <c r="K251" s="84">
        <f t="shared" si="186"/>
        <v>0</v>
      </c>
      <c r="L251" s="84">
        <f t="shared" si="186"/>
        <v>0</v>
      </c>
      <c r="M251" s="84">
        <f t="shared" si="186"/>
        <v>0</v>
      </c>
      <c r="N251" s="84">
        <f t="shared" si="186"/>
        <v>0</v>
      </c>
      <c r="O251" s="84">
        <f t="shared" si="186"/>
        <v>0</v>
      </c>
      <c r="P251" s="84">
        <f t="shared" si="186"/>
        <v>0</v>
      </c>
      <c r="Q251" s="84">
        <f t="shared" si="186"/>
        <v>0</v>
      </c>
      <c r="R251" s="84">
        <f t="shared" si="186"/>
        <v>0</v>
      </c>
      <c r="S251" s="84">
        <f t="shared" si="186"/>
        <v>0</v>
      </c>
      <c r="T251" s="84">
        <f t="shared" si="186"/>
        <v>0</v>
      </c>
      <c r="U251" s="84">
        <f t="shared" si="186"/>
        <v>0</v>
      </c>
      <c r="V251" s="84">
        <f t="shared" si="186"/>
        <v>0</v>
      </c>
      <c r="W251" s="84">
        <f t="shared" si="186"/>
        <v>0</v>
      </c>
      <c r="X251" s="84">
        <f t="shared" si="186"/>
        <v>0</v>
      </c>
      <c r="Y251" s="84">
        <f t="shared" si="186"/>
        <v>0</v>
      </c>
      <c r="Z251" s="84">
        <f t="shared" si="186"/>
        <v>0</v>
      </c>
      <c r="AA251" s="84">
        <f t="shared" si="186"/>
        <v>0</v>
      </c>
      <c r="AB251" s="84">
        <f t="shared" si="186"/>
        <v>0</v>
      </c>
      <c r="AC251" s="84">
        <f t="shared" si="186"/>
        <v>0</v>
      </c>
      <c r="AD251" s="84">
        <f t="shared" si="186"/>
        <v>0</v>
      </c>
      <c r="AE251" s="84">
        <f t="shared" si="186"/>
        <v>0</v>
      </c>
      <c r="AF251" s="84">
        <f t="shared" si="186"/>
        <v>0</v>
      </c>
      <c r="AG251" s="84">
        <f t="shared" si="186"/>
        <v>0</v>
      </c>
      <c r="AH251" s="84">
        <f t="shared" si="186"/>
        <v>0</v>
      </c>
      <c r="AI251" s="84">
        <f t="shared" si="186"/>
        <v>0</v>
      </c>
      <c r="AJ251" s="84">
        <f t="shared" si="186"/>
        <v>0</v>
      </c>
      <c r="AK251" s="84">
        <f t="shared" si="186"/>
        <v>0</v>
      </c>
      <c r="AL251" s="84">
        <f t="shared" si="186"/>
        <v>0</v>
      </c>
      <c r="AM251" s="84">
        <f t="shared" si="186"/>
        <v>0</v>
      </c>
      <c r="AN251" s="60"/>
      <c r="AO251" s="87">
        <f t="shared" si="182"/>
        <v>0</v>
      </c>
      <c r="AP251" s="60" t="b">
        <f t="shared" si="183"/>
        <v>1</v>
      </c>
    </row>
    <row r="252" spans="1:42" ht="12" customHeight="1" outlineLevel="1">
      <c r="A252" s="84">
        <v>4</v>
      </c>
      <c r="B252" s="60">
        <f t="shared" si="184"/>
        <v>2028</v>
      </c>
      <c r="C252" s="34">
        <v>0</v>
      </c>
      <c r="D252" s="60"/>
      <c r="E252" s="60"/>
      <c r="F252" s="60"/>
      <c r="G252" s="87">
        <f>IF(G$26,MIN($C252,MAX($C252/$C$245,$C252/(G$26/12))),0)</f>
        <v>0</v>
      </c>
      <c r="H252" s="84">
        <f t="shared" ref="H252:AM252" si="187">IF(AND(H$24-$A252&lt;$C$245,H$26&gt;0),G252*(H$25/12),0)</f>
        <v>0</v>
      </c>
      <c r="I252" s="84">
        <f t="shared" si="187"/>
        <v>0</v>
      </c>
      <c r="J252" s="84">
        <f t="shared" si="187"/>
        <v>0</v>
      </c>
      <c r="K252" s="84">
        <f t="shared" si="187"/>
        <v>0</v>
      </c>
      <c r="L252" s="84">
        <f t="shared" si="187"/>
        <v>0</v>
      </c>
      <c r="M252" s="84">
        <f t="shared" si="187"/>
        <v>0</v>
      </c>
      <c r="N252" s="84">
        <f t="shared" si="187"/>
        <v>0</v>
      </c>
      <c r="O252" s="84">
        <f t="shared" si="187"/>
        <v>0</v>
      </c>
      <c r="P252" s="84">
        <f t="shared" si="187"/>
        <v>0</v>
      </c>
      <c r="Q252" s="84">
        <f t="shared" si="187"/>
        <v>0</v>
      </c>
      <c r="R252" s="84">
        <f t="shared" si="187"/>
        <v>0</v>
      </c>
      <c r="S252" s="84">
        <f t="shared" si="187"/>
        <v>0</v>
      </c>
      <c r="T252" s="84">
        <f t="shared" si="187"/>
        <v>0</v>
      </c>
      <c r="U252" s="84">
        <f t="shared" si="187"/>
        <v>0</v>
      </c>
      <c r="V252" s="84">
        <f t="shared" si="187"/>
        <v>0</v>
      </c>
      <c r="W252" s="84">
        <f t="shared" si="187"/>
        <v>0</v>
      </c>
      <c r="X252" s="84">
        <f t="shared" si="187"/>
        <v>0</v>
      </c>
      <c r="Y252" s="84">
        <f t="shared" si="187"/>
        <v>0</v>
      </c>
      <c r="Z252" s="84">
        <f t="shared" si="187"/>
        <v>0</v>
      </c>
      <c r="AA252" s="84">
        <f t="shared" si="187"/>
        <v>0</v>
      </c>
      <c r="AB252" s="84">
        <f t="shared" si="187"/>
        <v>0</v>
      </c>
      <c r="AC252" s="84">
        <f t="shared" si="187"/>
        <v>0</v>
      </c>
      <c r="AD252" s="84">
        <f t="shared" si="187"/>
        <v>0</v>
      </c>
      <c r="AE252" s="84">
        <f t="shared" si="187"/>
        <v>0</v>
      </c>
      <c r="AF252" s="84">
        <f t="shared" si="187"/>
        <v>0</v>
      </c>
      <c r="AG252" s="84">
        <f t="shared" si="187"/>
        <v>0</v>
      </c>
      <c r="AH252" s="84">
        <f t="shared" si="187"/>
        <v>0</v>
      </c>
      <c r="AI252" s="84">
        <f t="shared" si="187"/>
        <v>0</v>
      </c>
      <c r="AJ252" s="84">
        <f t="shared" si="187"/>
        <v>0</v>
      </c>
      <c r="AK252" s="84">
        <f t="shared" si="187"/>
        <v>0</v>
      </c>
      <c r="AL252" s="84">
        <f t="shared" si="187"/>
        <v>0</v>
      </c>
      <c r="AM252" s="84">
        <f t="shared" si="187"/>
        <v>0</v>
      </c>
      <c r="AN252" s="60"/>
      <c r="AO252" s="87">
        <f t="shared" si="182"/>
        <v>0</v>
      </c>
      <c r="AP252" s="60" t="b">
        <f t="shared" si="183"/>
        <v>1</v>
      </c>
    </row>
    <row r="253" spans="1:42" ht="12" customHeight="1" outlineLevel="1">
      <c r="A253" s="84">
        <v>5</v>
      </c>
      <c r="B253" s="60">
        <f t="shared" si="184"/>
        <v>2029</v>
      </c>
      <c r="C253" s="34">
        <v>0</v>
      </c>
      <c r="D253" s="60"/>
      <c r="E253" s="60"/>
      <c r="F253" s="60"/>
      <c r="G253" s="60"/>
      <c r="H253" s="87">
        <f>IF(H$26,MIN($C253,MAX($C253/$C$245,$C253/(H$26/12))),0)</f>
        <v>0</v>
      </c>
      <c r="I253" s="84">
        <f t="shared" ref="I253:AM253" si="188">IF(AND(I$24-$A253&lt;$C$245,I$26&gt;0),H253*(I$25/12),0)</f>
        <v>0</v>
      </c>
      <c r="J253" s="84">
        <f t="shared" si="188"/>
        <v>0</v>
      </c>
      <c r="K253" s="84">
        <f t="shared" si="188"/>
        <v>0</v>
      </c>
      <c r="L253" s="84">
        <f t="shared" si="188"/>
        <v>0</v>
      </c>
      <c r="M253" s="84">
        <f t="shared" si="188"/>
        <v>0</v>
      </c>
      <c r="N253" s="84">
        <f t="shared" si="188"/>
        <v>0</v>
      </c>
      <c r="O253" s="84">
        <f t="shared" si="188"/>
        <v>0</v>
      </c>
      <c r="P253" s="84">
        <f t="shared" si="188"/>
        <v>0</v>
      </c>
      <c r="Q253" s="84">
        <f t="shared" si="188"/>
        <v>0</v>
      </c>
      <c r="R253" s="84">
        <f t="shared" si="188"/>
        <v>0</v>
      </c>
      <c r="S253" s="84">
        <f t="shared" si="188"/>
        <v>0</v>
      </c>
      <c r="T253" s="84">
        <f t="shared" si="188"/>
        <v>0</v>
      </c>
      <c r="U253" s="84">
        <f t="shared" si="188"/>
        <v>0</v>
      </c>
      <c r="V253" s="84">
        <f t="shared" si="188"/>
        <v>0</v>
      </c>
      <c r="W253" s="84">
        <f t="shared" si="188"/>
        <v>0</v>
      </c>
      <c r="X253" s="84">
        <f t="shared" si="188"/>
        <v>0</v>
      </c>
      <c r="Y253" s="84">
        <f t="shared" si="188"/>
        <v>0</v>
      </c>
      <c r="Z253" s="84">
        <f t="shared" si="188"/>
        <v>0</v>
      </c>
      <c r="AA253" s="84">
        <f t="shared" si="188"/>
        <v>0</v>
      </c>
      <c r="AB253" s="84">
        <f t="shared" si="188"/>
        <v>0</v>
      </c>
      <c r="AC253" s="84">
        <f t="shared" si="188"/>
        <v>0</v>
      </c>
      <c r="AD253" s="84">
        <f t="shared" si="188"/>
        <v>0</v>
      </c>
      <c r="AE253" s="84">
        <f t="shared" si="188"/>
        <v>0</v>
      </c>
      <c r="AF253" s="84">
        <f t="shared" si="188"/>
        <v>0</v>
      </c>
      <c r="AG253" s="84">
        <f t="shared" si="188"/>
        <v>0</v>
      </c>
      <c r="AH253" s="84">
        <f t="shared" si="188"/>
        <v>0</v>
      </c>
      <c r="AI253" s="84">
        <f t="shared" si="188"/>
        <v>0</v>
      </c>
      <c r="AJ253" s="84">
        <f t="shared" si="188"/>
        <v>0</v>
      </c>
      <c r="AK253" s="84">
        <f t="shared" si="188"/>
        <v>0</v>
      </c>
      <c r="AL253" s="84">
        <f t="shared" si="188"/>
        <v>0</v>
      </c>
      <c r="AM253" s="84">
        <f t="shared" si="188"/>
        <v>0</v>
      </c>
      <c r="AN253" s="60"/>
      <c r="AO253" s="87">
        <f t="shared" si="182"/>
        <v>0</v>
      </c>
      <c r="AP253" s="60" t="b">
        <f t="shared" si="183"/>
        <v>1</v>
      </c>
    </row>
    <row r="254" spans="1:42" ht="12" customHeight="1" outlineLevel="1">
      <c r="A254" s="84">
        <v>6</v>
      </c>
      <c r="B254" s="60">
        <f t="shared" si="184"/>
        <v>2030</v>
      </c>
      <c r="C254" s="34">
        <v>0</v>
      </c>
      <c r="D254" s="60"/>
      <c r="E254" s="60"/>
      <c r="F254" s="60"/>
      <c r="G254" s="60"/>
      <c r="H254" s="60"/>
      <c r="I254" s="87">
        <f>IF(I$26,MIN($C254,MAX($C254/$C$245,$C254/(I$26/12))),0)</f>
        <v>0</v>
      </c>
      <c r="J254" s="84">
        <f t="shared" ref="J254:AM254" si="189">IF(AND(J$24-$A254&lt;$C$245,J$26&gt;0),I254*(J$25/12),0)</f>
        <v>0</v>
      </c>
      <c r="K254" s="84">
        <f t="shared" si="189"/>
        <v>0</v>
      </c>
      <c r="L254" s="84">
        <f t="shared" si="189"/>
        <v>0</v>
      </c>
      <c r="M254" s="84">
        <f t="shared" si="189"/>
        <v>0</v>
      </c>
      <c r="N254" s="84">
        <f t="shared" si="189"/>
        <v>0</v>
      </c>
      <c r="O254" s="84">
        <f t="shared" si="189"/>
        <v>0</v>
      </c>
      <c r="P254" s="84">
        <f t="shared" si="189"/>
        <v>0</v>
      </c>
      <c r="Q254" s="84">
        <f t="shared" si="189"/>
        <v>0</v>
      </c>
      <c r="R254" s="84">
        <f t="shared" si="189"/>
        <v>0</v>
      </c>
      <c r="S254" s="84">
        <f t="shared" si="189"/>
        <v>0</v>
      </c>
      <c r="T254" s="84">
        <f t="shared" si="189"/>
        <v>0</v>
      </c>
      <c r="U254" s="84">
        <f t="shared" si="189"/>
        <v>0</v>
      </c>
      <c r="V254" s="84">
        <f t="shared" si="189"/>
        <v>0</v>
      </c>
      <c r="W254" s="84">
        <f t="shared" si="189"/>
        <v>0</v>
      </c>
      <c r="X254" s="84">
        <f t="shared" si="189"/>
        <v>0</v>
      </c>
      <c r="Y254" s="84">
        <f t="shared" si="189"/>
        <v>0</v>
      </c>
      <c r="Z254" s="84">
        <f t="shared" si="189"/>
        <v>0</v>
      </c>
      <c r="AA254" s="84">
        <f t="shared" si="189"/>
        <v>0</v>
      </c>
      <c r="AB254" s="84">
        <f t="shared" si="189"/>
        <v>0</v>
      </c>
      <c r="AC254" s="84">
        <f t="shared" si="189"/>
        <v>0</v>
      </c>
      <c r="AD254" s="84">
        <f t="shared" si="189"/>
        <v>0</v>
      </c>
      <c r="AE254" s="84">
        <f t="shared" si="189"/>
        <v>0</v>
      </c>
      <c r="AF254" s="84">
        <f t="shared" si="189"/>
        <v>0</v>
      </c>
      <c r="AG254" s="84">
        <f t="shared" si="189"/>
        <v>0</v>
      </c>
      <c r="AH254" s="84">
        <f t="shared" si="189"/>
        <v>0</v>
      </c>
      <c r="AI254" s="84">
        <f t="shared" si="189"/>
        <v>0</v>
      </c>
      <c r="AJ254" s="84">
        <f t="shared" si="189"/>
        <v>0</v>
      </c>
      <c r="AK254" s="84">
        <f t="shared" si="189"/>
        <v>0</v>
      </c>
      <c r="AL254" s="84">
        <f t="shared" si="189"/>
        <v>0</v>
      </c>
      <c r="AM254" s="84">
        <f t="shared" si="189"/>
        <v>0</v>
      </c>
      <c r="AN254" s="60"/>
      <c r="AO254" s="87">
        <f t="shared" si="182"/>
        <v>0</v>
      </c>
      <c r="AP254" s="60" t="b">
        <f t="shared" si="183"/>
        <v>1</v>
      </c>
    </row>
    <row r="255" spans="1:42" ht="12" customHeight="1" outlineLevel="1">
      <c r="A255" s="84">
        <v>7</v>
      </c>
      <c r="B255" s="60">
        <f t="shared" si="184"/>
        <v>2031</v>
      </c>
      <c r="C255" s="34">
        <v>0</v>
      </c>
      <c r="D255" s="60"/>
      <c r="E255" s="60"/>
      <c r="F255" s="60"/>
      <c r="G255" s="60"/>
      <c r="H255" s="60"/>
      <c r="I255" s="60"/>
      <c r="J255" s="87">
        <f>IF(J$26,MIN($C255,MAX($C255/$C$245,$C255/(J$26/12))),0)</f>
        <v>0</v>
      </c>
      <c r="K255" s="84">
        <f t="shared" ref="K255:AM255" si="190">IF(AND(K$24-$A255&lt;$C$245,K$26&gt;0),J255*(K$25/12),0)</f>
        <v>0</v>
      </c>
      <c r="L255" s="84">
        <f t="shared" si="190"/>
        <v>0</v>
      </c>
      <c r="M255" s="84">
        <f t="shared" si="190"/>
        <v>0</v>
      </c>
      <c r="N255" s="84">
        <f t="shared" si="190"/>
        <v>0</v>
      </c>
      <c r="O255" s="84">
        <f t="shared" si="190"/>
        <v>0</v>
      </c>
      <c r="P255" s="84">
        <f t="shared" si="190"/>
        <v>0</v>
      </c>
      <c r="Q255" s="84">
        <f t="shared" si="190"/>
        <v>0</v>
      </c>
      <c r="R255" s="84">
        <f t="shared" si="190"/>
        <v>0</v>
      </c>
      <c r="S255" s="84">
        <f t="shared" si="190"/>
        <v>0</v>
      </c>
      <c r="T255" s="84">
        <f t="shared" si="190"/>
        <v>0</v>
      </c>
      <c r="U255" s="84">
        <f t="shared" si="190"/>
        <v>0</v>
      </c>
      <c r="V255" s="84">
        <f t="shared" si="190"/>
        <v>0</v>
      </c>
      <c r="W255" s="84">
        <f t="shared" si="190"/>
        <v>0</v>
      </c>
      <c r="X255" s="84">
        <f t="shared" si="190"/>
        <v>0</v>
      </c>
      <c r="Y255" s="84">
        <f t="shared" si="190"/>
        <v>0</v>
      </c>
      <c r="Z255" s="84">
        <f t="shared" si="190"/>
        <v>0</v>
      </c>
      <c r="AA255" s="84">
        <f t="shared" si="190"/>
        <v>0</v>
      </c>
      <c r="AB255" s="84">
        <f t="shared" si="190"/>
        <v>0</v>
      </c>
      <c r="AC255" s="84">
        <f t="shared" si="190"/>
        <v>0</v>
      </c>
      <c r="AD255" s="84">
        <f t="shared" si="190"/>
        <v>0</v>
      </c>
      <c r="AE255" s="84">
        <f t="shared" si="190"/>
        <v>0</v>
      </c>
      <c r="AF255" s="84">
        <f t="shared" si="190"/>
        <v>0</v>
      </c>
      <c r="AG255" s="84">
        <f t="shared" si="190"/>
        <v>0</v>
      </c>
      <c r="AH255" s="84">
        <f t="shared" si="190"/>
        <v>0</v>
      </c>
      <c r="AI255" s="84">
        <f t="shared" si="190"/>
        <v>0</v>
      </c>
      <c r="AJ255" s="84">
        <f t="shared" si="190"/>
        <v>0</v>
      </c>
      <c r="AK255" s="84">
        <f t="shared" si="190"/>
        <v>0</v>
      </c>
      <c r="AL255" s="84">
        <f t="shared" si="190"/>
        <v>0</v>
      </c>
      <c r="AM255" s="84">
        <f t="shared" si="190"/>
        <v>0</v>
      </c>
      <c r="AN255" s="60"/>
      <c r="AO255" s="87">
        <f t="shared" si="182"/>
        <v>0</v>
      </c>
      <c r="AP255" s="60" t="b">
        <f t="shared" si="183"/>
        <v>1</v>
      </c>
    </row>
    <row r="256" spans="1:42" ht="12" customHeight="1" outlineLevel="1">
      <c r="A256" s="84">
        <v>8</v>
      </c>
      <c r="B256" s="60">
        <f t="shared" si="184"/>
        <v>2032</v>
      </c>
      <c r="C256" s="34">
        <v>0</v>
      </c>
      <c r="D256" s="60"/>
      <c r="E256" s="60"/>
      <c r="F256" s="60"/>
      <c r="G256" s="60"/>
      <c r="H256" s="60"/>
      <c r="I256" s="60"/>
      <c r="J256" s="60"/>
      <c r="K256" s="87">
        <f>IF(K$26,MIN($C256,MAX($C256/$C$245,$C256/(K$26/12))),0)</f>
        <v>0</v>
      </c>
      <c r="L256" s="84">
        <f t="shared" ref="L256:AM256" si="191">IF(AND(L$24-$A256&lt;$C$245,L$26&gt;0),K256*(L$25/12),0)</f>
        <v>0</v>
      </c>
      <c r="M256" s="84">
        <f t="shared" si="191"/>
        <v>0</v>
      </c>
      <c r="N256" s="84">
        <f t="shared" si="191"/>
        <v>0</v>
      </c>
      <c r="O256" s="84">
        <f t="shared" si="191"/>
        <v>0</v>
      </c>
      <c r="P256" s="84">
        <f t="shared" si="191"/>
        <v>0</v>
      </c>
      <c r="Q256" s="84">
        <f t="shared" si="191"/>
        <v>0</v>
      </c>
      <c r="R256" s="84">
        <f t="shared" si="191"/>
        <v>0</v>
      </c>
      <c r="S256" s="84">
        <f t="shared" si="191"/>
        <v>0</v>
      </c>
      <c r="T256" s="84">
        <f t="shared" si="191"/>
        <v>0</v>
      </c>
      <c r="U256" s="84">
        <f t="shared" si="191"/>
        <v>0</v>
      </c>
      <c r="V256" s="84">
        <f t="shared" si="191"/>
        <v>0</v>
      </c>
      <c r="W256" s="84">
        <f t="shared" si="191"/>
        <v>0</v>
      </c>
      <c r="X256" s="84">
        <f t="shared" si="191"/>
        <v>0</v>
      </c>
      <c r="Y256" s="84">
        <f t="shared" si="191"/>
        <v>0</v>
      </c>
      <c r="Z256" s="84">
        <f t="shared" si="191"/>
        <v>0</v>
      </c>
      <c r="AA256" s="84">
        <f t="shared" si="191"/>
        <v>0</v>
      </c>
      <c r="AB256" s="84">
        <f t="shared" si="191"/>
        <v>0</v>
      </c>
      <c r="AC256" s="84">
        <f t="shared" si="191"/>
        <v>0</v>
      </c>
      <c r="AD256" s="84">
        <f t="shared" si="191"/>
        <v>0</v>
      </c>
      <c r="AE256" s="84">
        <f t="shared" si="191"/>
        <v>0</v>
      </c>
      <c r="AF256" s="84">
        <f t="shared" si="191"/>
        <v>0</v>
      </c>
      <c r="AG256" s="84">
        <f t="shared" si="191"/>
        <v>0</v>
      </c>
      <c r="AH256" s="84">
        <f t="shared" si="191"/>
        <v>0</v>
      </c>
      <c r="AI256" s="84">
        <f t="shared" si="191"/>
        <v>0</v>
      </c>
      <c r="AJ256" s="84">
        <f t="shared" si="191"/>
        <v>0</v>
      </c>
      <c r="AK256" s="84">
        <f t="shared" si="191"/>
        <v>0</v>
      </c>
      <c r="AL256" s="84">
        <f t="shared" si="191"/>
        <v>0</v>
      </c>
      <c r="AM256" s="84">
        <f t="shared" si="191"/>
        <v>0</v>
      </c>
      <c r="AN256" s="60"/>
      <c r="AO256" s="87">
        <f t="shared" si="182"/>
        <v>0</v>
      </c>
      <c r="AP256" s="60" t="b">
        <f t="shared" si="183"/>
        <v>1</v>
      </c>
    </row>
    <row r="257" spans="1:42" ht="12" customHeight="1" outlineLevel="1">
      <c r="A257" s="84">
        <v>9</v>
      </c>
      <c r="B257" s="60">
        <f t="shared" si="184"/>
        <v>2033</v>
      </c>
      <c r="C257" s="34">
        <v>0</v>
      </c>
      <c r="D257" s="60"/>
      <c r="E257" s="60"/>
      <c r="F257" s="60"/>
      <c r="G257" s="60"/>
      <c r="H257" s="60"/>
      <c r="I257" s="60"/>
      <c r="J257" s="60"/>
      <c r="K257" s="60"/>
      <c r="L257" s="87">
        <f>IF(L$26,MIN($C257,MAX($C257/$C$245,$C257/(L$26/12))),0)</f>
        <v>0</v>
      </c>
      <c r="M257" s="84">
        <f t="shared" ref="M257:AM257" si="192">IF(AND(M$24-$A257&lt;$C$245,M$26&gt;0),L257*(M$25/12),0)</f>
        <v>0</v>
      </c>
      <c r="N257" s="84">
        <f t="shared" si="192"/>
        <v>0</v>
      </c>
      <c r="O257" s="84">
        <f t="shared" si="192"/>
        <v>0</v>
      </c>
      <c r="P257" s="84">
        <f t="shared" si="192"/>
        <v>0</v>
      </c>
      <c r="Q257" s="84">
        <f t="shared" si="192"/>
        <v>0</v>
      </c>
      <c r="R257" s="84">
        <f t="shared" si="192"/>
        <v>0</v>
      </c>
      <c r="S257" s="84">
        <f t="shared" si="192"/>
        <v>0</v>
      </c>
      <c r="T257" s="84">
        <f t="shared" si="192"/>
        <v>0</v>
      </c>
      <c r="U257" s="84">
        <f t="shared" si="192"/>
        <v>0</v>
      </c>
      <c r="V257" s="84">
        <f t="shared" si="192"/>
        <v>0</v>
      </c>
      <c r="W257" s="84">
        <f t="shared" si="192"/>
        <v>0</v>
      </c>
      <c r="X257" s="84">
        <f t="shared" si="192"/>
        <v>0</v>
      </c>
      <c r="Y257" s="84">
        <f t="shared" si="192"/>
        <v>0</v>
      </c>
      <c r="Z257" s="84">
        <f t="shared" si="192"/>
        <v>0</v>
      </c>
      <c r="AA257" s="84">
        <f t="shared" si="192"/>
        <v>0</v>
      </c>
      <c r="AB257" s="84">
        <f t="shared" si="192"/>
        <v>0</v>
      </c>
      <c r="AC257" s="84">
        <f t="shared" si="192"/>
        <v>0</v>
      </c>
      <c r="AD257" s="84">
        <f t="shared" si="192"/>
        <v>0</v>
      </c>
      <c r="AE257" s="84">
        <f t="shared" si="192"/>
        <v>0</v>
      </c>
      <c r="AF257" s="84">
        <f t="shared" si="192"/>
        <v>0</v>
      </c>
      <c r="AG257" s="84">
        <f t="shared" si="192"/>
        <v>0</v>
      </c>
      <c r="AH257" s="84">
        <f t="shared" si="192"/>
        <v>0</v>
      </c>
      <c r="AI257" s="84">
        <f t="shared" si="192"/>
        <v>0</v>
      </c>
      <c r="AJ257" s="84">
        <f t="shared" si="192"/>
        <v>0</v>
      </c>
      <c r="AK257" s="84">
        <f t="shared" si="192"/>
        <v>0</v>
      </c>
      <c r="AL257" s="84">
        <f t="shared" si="192"/>
        <v>0</v>
      </c>
      <c r="AM257" s="84">
        <f t="shared" si="192"/>
        <v>0</v>
      </c>
      <c r="AN257" s="60"/>
      <c r="AO257" s="87">
        <f t="shared" si="182"/>
        <v>0</v>
      </c>
      <c r="AP257" s="60" t="b">
        <f t="shared" si="183"/>
        <v>1</v>
      </c>
    </row>
    <row r="258" spans="1:42" ht="12" customHeight="1" outlineLevel="1">
      <c r="A258" s="84">
        <v>10</v>
      </c>
      <c r="B258" s="60">
        <f t="shared" si="184"/>
        <v>2034</v>
      </c>
      <c r="C258" s="34">
        <v>0</v>
      </c>
      <c r="D258" s="60"/>
      <c r="E258" s="60"/>
      <c r="F258" s="60"/>
      <c r="G258" s="60"/>
      <c r="H258" s="60"/>
      <c r="I258" s="60"/>
      <c r="J258" s="60"/>
      <c r="K258" s="60"/>
      <c r="L258" s="60"/>
      <c r="M258" s="87">
        <f>IF(M$26,MIN($C258,MAX($C258/$C$245,$C258/(M$26/12))),0)</f>
        <v>0</v>
      </c>
      <c r="N258" s="84">
        <f t="shared" ref="N258:AM258" si="193">IF(AND(N$24-$A258&lt;$C$245,N$26&gt;0),M258*(N$25/12),0)</f>
        <v>0</v>
      </c>
      <c r="O258" s="84">
        <f t="shared" si="193"/>
        <v>0</v>
      </c>
      <c r="P258" s="84">
        <f t="shared" si="193"/>
        <v>0</v>
      </c>
      <c r="Q258" s="84">
        <f t="shared" si="193"/>
        <v>0</v>
      </c>
      <c r="R258" s="84">
        <f t="shared" si="193"/>
        <v>0</v>
      </c>
      <c r="S258" s="84">
        <f t="shared" si="193"/>
        <v>0</v>
      </c>
      <c r="T258" s="84">
        <f t="shared" si="193"/>
        <v>0</v>
      </c>
      <c r="U258" s="84">
        <f t="shared" si="193"/>
        <v>0</v>
      </c>
      <c r="V258" s="84">
        <f t="shared" si="193"/>
        <v>0</v>
      </c>
      <c r="W258" s="84">
        <f t="shared" si="193"/>
        <v>0</v>
      </c>
      <c r="X258" s="84">
        <f t="shared" si="193"/>
        <v>0</v>
      </c>
      <c r="Y258" s="84">
        <f t="shared" si="193"/>
        <v>0</v>
      </c>
      <c r="Z258" s="84">
        <f t="shared" si="193"/>
        <v>0</v>
      </c>
      <c r="AA258" s="84">
        <f t="shared" si="193"/>
        <v>0</v>
      </c>
      <c r="AB258" s="84">
        <f t="shared" si="193"/>
        <v>0</v>
      </c>
      <c r="AC258" s="84">
        <f t="shared" si="193"/>
        <v>0</v>
      </c>
      <c r="AD258" s="84">
        <f t="shared" si="193"/>
        <v>0</v>
      </c>
      <c r="AE258" s="84">
        <f t="shared" si="193"/>
        <v>0</v>
      </c>
      <c r="AF258" s="84">
        <f t="shared" si="193"/>
        <v>0</v>
      </c>
      <c r="AG258" s="84">
        <f t="shared" si="193"/>
        <v>0</v>
      </c>
      <c r="AH258" s="84">
        <f t="shared" si="193"/>
        <v>0</v>
      </c>
      <c r="AI258" s="84">
        <f t="shared" si="193"/>
        <v>0</v>
      </c>
      <c r="AJ258" s="84">
        <f t="shared" si="193"/>
        <v>0</v>
      </c>
      <c r="AK258" s="84">
        <f t="shared" si="193"/>
        <v>0</v>
      </c>
      <c r="AL258" s="84">
        <f t="shared" si="193"/>
        <v>0</v>
      </c>
      <c r="AM258" s="84">
        <f t="shared" si="193"/>
        <v>0</v>
      </c>
      <c r="AN258" s="60"/>
      <c r="AO258" s="87">
        <f t="shared" si="182"/>
        <v>0</v>
      </c>
      <c r="AP258" s="60" t="b">
        <f t="shared" si="183"/>
        <v>1</v>
      </c>
    </row>
    <row r="259" spans="1:42" ht="12" customHeight="1" outlineLevel="1">
      <c r="A259" s="84">
        <v>11</v>
      </c>
      <c r="B259" s="60">
        <f t="shared" si="184"/>
        <v>2035</v>
      </c>
      <c r="C259" s="34">
        <v>0</v>
      </c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87">
        <f>IF(N$26,MIN($C259,MAX($C259/$C$245,$C259/(N$26/12))),0)</f>
        <v>0</v>
      </c>
      <c r="O259" s="84">
        <f t="shared" ref="O259:AM259" si="194">IF(AND(O$24-$A259&lt;$C$245,O$26&gt;0),N259*(O$25/12),0)</f>
        <v>0</v>
      </c>
      <c r="P259" s="84">
        <f t="shared" si="194"/>
        <v>0</v>
      </c>
      <c r="Q259" s="84">
        <f t="shared" si="194"/>
        <v>0</v>
      </c>
      <c r="R259" s="84">
        <f t="shared" si="194"/>
        <v>0</v>
      </c>
      <c r="S259" s="84">
        <f t="shared" si="194"/>
        <v>0</v>
      </c>
      <c r="T259" s="84">
        <f t="shared" si="194"/>
        <v>0</v>
      </c>
      <c r="U259" s="84">
        <f t="shared" si="194"/>
        <v>0</v>
      </c>
      <c r="V259" s="84">
        <f t="shared" si="194"/>
        <v>0</v>
      </c>
      <c r="W259" s="84">
        <f t="shared" si="194"/>
        <v>0</v>
      </c>
      <c r="X259" s="84">
        <f t="shared" si="194"/>
        <v>0</v>
      </c>
      <c r="Y259" s="84">
        <f t="shared" si="194"/>
        <v>0</v>
      </c>
      <c r="Z259" s="84">
        <f t="shared" si="194"/>
        <v>0</v>
      </c>
      <c r="AA259" s="84">
        <f t="shared" si="194"/>
        <v>0</v>
      </c>
      <c r="AB259" s="84">
        <f t="shared" si="194"/>
        <v>0</v>
      </c>
      <c r="AC259" s="84">
        <f t="shared" si="194"/>
        <v>0</v>
      </c>
      <c r="AD259" s="84">
        <f t="shared" si="194"/>
        <v>0</v>
      </c>
      <c r="AE259" s="84">
        <f t="shared" si="194"/>
        <v>0</v>
      </c>
      <c r="AF259" s="84">
        <f t="shared" si="194"/>
        <v>0</v>
      </c>
      <c r="AG259" s="84">
        <f t="shared" si="194"/>
        <v>0</v>
      </c>
      <c r="AH259" s="84">
        <f t="shared" si="194"/>
        <v>0</v>
      </c>
      <c r="AI259" s="84">
        <f t="shared" si="194"/>
        <v>0</v>
      </c>
      <c r="AJ259" s="84">
        <f t="shared" si="194"/>
        <v>0</v>
      </c>
      <c r="AK259" s="84">
        <f t="shared" si="194"/>
        <v>0</v>
      </c>
      <c r="AL259" s="84">
        <f t="shared" si="194"/>
        <v>0</v>
      </c>
      <c r="AM259" s="84">
        <f t="shared" si="194"/>
        <v>0</v>
      </c>
      <c r="AN259" s="60"/>
      <c r="AO259" s="87">
        <f t="shared" si="182"/>
        <v>0</v>
      </c>
      <c r="AP259" s="60" t="b">
        <f t="shared" si="183"/>
        <v>1</v>
      </c>
    </row>
    <row r="260" spans="1:42" ht="12" customHeight="1" outlineLevel="1">
      <c r="A260" s="84">
        <v>12</v>
      </c>
      <c r="B260" s="60">
        <f t="shared" si="184"/>
        <v>2036</v>
      </c>
      <c r="C260" s="34">
        <v>0</v>
      </c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87">
        <f>IF(O$26,MIN($C260,MAX($C260/$C$245,$C260/(O$26/12))),0)</f>
        <v>0</v>
      </c>
      <c r="P260" s="84">
        <f t="shared" ref="P260:AM260" si="195">IF(AND(P$24-$A260&lt;$C$245,P$26&gt;0),O260*(P$25/12),0)</f>
        <v>0</v>
      </c>
      <c r="Q260" s="84">
        <f t="shared" si="195"/>
        <v>0</v>
      </c>
      <c r="R260" s="84">
        <f t="shared" si="195"/>
        <v>0</v>
      </c>
      <c r="S260" s="84">
        <f t="shared" si="195"/>
        <v>0</v>
      </c>
      <c r="T260" s="84">
        <f t="shared" si="195"/>
        <v>0</v>
      </c>
      <c r="U260" s="84">
        <f t="shared" si="195"/>
        <v>0</v>
      </c>
      <c r="V260" s="84">
        <f t="shared" si="195"/>
        <v>0</v>
      </c>
      <c r="W260" s="84">
        <f t="shared" si="195"/>
        <v>0</v>
      </c>
      <c r="X260" s="84">
        <f t="shared" si="195"/>
        <v>0</v>
      </c>
      <c r="Y260" s="84">
        <f t="shared" si="195"/>
        <v>0</v>
      </c>
      <c r="Z260" s="84">
        <f t="shared" si="195"/>
        <v>0</v>
      </c>
      <c r="AA260" s="84">
        <f t="shared" si="195"/>
        <v>0</v>
      </c>
      <c r="AB260" s="84">
        <f t="shared" si="195"/>
        <v>0</v>
      </c>
      <c r="AC260" s="84">
        <f t="shared" si="195"/>
        <v>0</v>
      </c>
      <c r="AD260" s="84">
        <f t="shared" si="195"/>
        <v>0</v>
      </c>
      <c r="AE260" s="84">
        <f t="shared" si="195"/>
        <v>0</v>
      </c>
      <c r="AF260" s="84">
        <f t="shared" si="195"/>
        <v>0</v>
      </c>
      <c r="AG260" s="84">
        <f t="shared" si="195"/>
        <v>0</v>
      </c>
      <c r="AH260" s="84">
        <f t="shared" si="195"/>
        <v>0</v>
      </c>
      <c r="AI260" s="84">
        <f t="shared" si="195"/>
        <v>0</v>
      </c>
      <c r="AJ260" s="84">
        <f t="shared" si="195"/>
        <v>0</v>
      </c>
      <c r="AK260" s="84">
        <f t="shared" si="195"/>
        <v>0</v>
      </c>
      <c r="AL260" s="84">
        <f t="shared" si="195"/>
        <v>0</v>
      </c>
      <c r="AM260" s="84">
        <f t="shared" si="195"/>
        <v>0</v>
      </c>
      <c r="AN260" s="60"/>
      <c r="AO260" s="87">
        <f t="shared" si="182"/>
        <v>0</v>
      </c>
      <c r="AP260" s="60" t="b">
        <f t="shared" si="183"/>
        <v>1</v>
      </c>
    </row>
    <row r="261" spans="1:42" ht="12" customHeight="1" outlineLevel="1">
      <c r="A261" s="84">
        <v>13</v>
      </c>
      <c r="B261" s="60">
        <f t="shared" si="184"/>
        <v>2037</v>
      </c>
      <c r="C261" s="34">
        <v>0</v>
      </c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87">
        <f>IF(P$26,MIN($C261,MAX($C261/$C$245,$C261/(P$26/12))),0)</f>
        <v>0</v>
      </c>
      <c r="Q261" s="84">
        <f t="shared" ref="Q261:AM261" si="196">IF(AND(Q$24-$A261&lt;$C$245,Q$26&gt;0),P261*(Q$25/12),0)</f>
        <v>0</v>
      </c>
      <c r="R261" s="84">
        <f t="shared" si="196"/>
        <v>0</v>
      </c>
      <c r="S261" s="84">
        <f t="shared" si="196"/>
        <v>0</v>
      </c>
      <c r="T261" s="84">
        <f t="shared" si="196"/>
        <v>0</v>
      </c>
      <c r="U261" s="84">
        <f t="shared" si="196"/>
        <v>0</v>
      </c>
      <c r="V261" s="84">
        <f t="shared" si="196"/>
        <v>0</v>
      </c>
      <c r="W261" s="84">
        <f t="shared" si="196"/>
        <v>0</v>
      </c>
      <c r="X261" s="84">
        <f t="shared" si="196"/>
        <v>0</v>
      </c>
      <c r="Y261" s="84">
        <f t="shared" si="196"/>
        <v>0</v>
      </c>
      <c r="Z261" s="84">
        <f t="shared" si="196"/>
        <v>0</v>
      </c>
      <c r="AA261" s="84">
        <f t="shared" si="196"/>
        <v>0</v>
      </c>
      <c r="AB261" s="84">
        <f t="shared" si="196"/>
        <v>0</v>
      </c>
      <c r="AC261" s="84">
        <f t="shared" si="196"/>
        <v>0</v>
      </c>
      <c r="AD261" s="84">
        <f t="shared" si="196"/>
        <v>0</v>
      </c>
      <c r="AE261" s="84">
        <f t="shared" si="196"/>
        <v>0</v>
      </c>
      <c r="AF261" s="84">
        <f t="shared" si="196"/>
        <v>0</v>
      </c>
      <c r="AG261" s="84">
        <f t="shared" si="196"/>
        <v>0</v>
      </c>
      <c r="AH261" s="84">
        <f t="shared" si="196"/>
        <v>0</v>
      </c>
      <c r="AI261" s="84">
        <f t="shared" si="196"/>
        <v>0</v>
      </c>
      <c r="AJ261" s="84">
        <f t="shared" si="196"/>
        <v>0</v>
      </c>
      <c r="AK261" s="84">
        <f t="shared" si="196"/>
        <v>0</v>
      </c>
      <c r="AL261" s="84">
        <f t="shared" si="196"/>
        <v>0</v>
      </c>
      <c r="AM261" s="84">
        <f t="shared" si="196"/>
        <v>0</v>
      </c>
      <c r="AN261" s="60"/>
      <c r="AO261" s="87">
        <f t="shared" si="182"/>
        <v>0</v>
      </c>
      <c r="AP261" s="60" t="b">
        <f t="shared" si="183"/>
        <v>1</v>
      </c>
    </row>
    <row r="262" spans="1:42" ht="12" customHeight="1" outlineLevel="1">
      <c r="A262" s="84">
        <v>14</v>
      </c>
      <c r="B262" s="60">
        <f t="shared" si="184"/>
        <v>2038</v>
      </c>
      <c r="C262" s="34">
        <v>0</v>
      </c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87">
        <f>IF(Q$26,MIN($C262,MAX($C262/$C$245,$C262/(Q$26/12))),0)</f>
        <v>0</v>
      </c>
      <c r="R262" s="84">
        <f t="shared" ref="R262:AM262" si="197">IF(AND(R$24-$A262&lt;$C$245,R$26&gt;0),Q262*(R$25/12),0)</f>
        <v>0</v>
      </c>
      <c r="S262" s="84">
        <f t="shared" si="197"/>
        <v>0</v>
      </c>
      <c r="T262" s="84">
        <f t="shared" si="197"/>
        <v>0</v>
      </c>
      <c r="U262" s="84">
        <f t="shared" si="197"/>
        <v>0</v>
      </c>
      <c r="V262" s="84">
        <f t="shared" si="197"/>
        <v>0</v>
      </c>
      <c r="W262" s="84">
        <f t="shared" si="197"/>
        <v>0</v>
      </c>
      <c r="X262" s="84">
        <f t="shared" si="197"/>
        <v>0</v>
      </c>
      <c r="Y262" s="84">
        <f t="shared" si="197"/>
        <v>0</v>
      </c>
      <c r="Z262" s="84">
        <f t="shared" si="197"/>
        <v>0</v>
      </c>
      <c r="AA262" s="84">
        <f t="shared" si="197"/>
        <v>0</v>
      </c>
      <c r="AB262" s="84">
        <f t="shared" si="197"/>
        <v>0</v>
      </c>
      <c r="AC262" s="84">
        <f t="shared" si="197"/>
        <v>0</v>
      </c>
      <c r="AD262" s="84">
        <f t="shared" si="197"/>
        <v>0</v>
      </c>
      <c r="AE262" s="84">
        <f t="shared" si="197"/>
        <v>0</v>
      </c>
      <c r="AF262" s="84">
        <f t="shared" si="197"/>
        <v>0</v>
      </c>
      <c r="AG262" s="84">
        <f t="shared" si="197"/>
        <v>0</v>
      </c>
      <c r="AH262" s="84">
        <f t="shared" si="197"/>
        <v>0</v>
      </c>
      <c r="AI262" s="84">
        <f t="shared" si="197"/>
        <v>0</v>
      </c>
      <c r="AJ262" s="84">
        <f t="shared" si="197"/>
        <v>0</v>
      </c>
      <c r="AK262" s="84">
        <f t="shared" si="197"/>
        <v>0</v>
      </c>
      <c r="AL262" s="84">
        <f t="shared" si="197"/>
        <v>0</v>
      </c>
      <c r="AM262" s="84">
        <f t="shared" si="197"/>
        <v>0</v>
      </c>
      <c r="AN262" s="60"/>
      <c r="AO262" s="87">
        <f t="shared" si="182"/>
        <v>0</v>
      </c>
      <c r="AP262" s="60" t="b">
        <f t="shared" si="183"/>
        <v>1</v>
      </c>
    </row>
    <row r="263" spans="1:42" ht="12" customHeight="1" outlineLevel="1">
      <c r="A263" s="84">
        <v>15</v>
      </c>
      <c r="B263" s="60">
        <f t="shared" si="184"/>
        <v>2039</v>
      </c>
      <c r="C263" s="34">
        <v>0</v>
      </c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87">
        <f>IF(R$26,MIN($C263,MAX($C263/$C$245,$C263/(R$26/12))),0)</f>
        <v>0</v>
      </c>
      <c r="S263" s="84">
        <f t="shared" ref="S263:AM263" si="198">IF(AND(S$24-$A263&lt;$C$245,S$26&gt;0),R263*(S$25/12),0)</f>
        <v>0</v>
      </c>
      <c r="T263" s="84">
        <f t="shared" si="198"/>
        <v>0</v>
      </c>
      <c r="U263" s="84">
        <f t="shared" si="198"/>
        <v>0</v>
      </c>
      <c r="V263" s="84">
        <f t="shared" si="198"/>
        <v>0</v>
      </c>
      <c r="W263" s="84">
        <f t="shared" si="198"/>
        <v>0</v>
      </c>
      <c r="X263" s="84">
        <f t="shared" si="198"/>
        <v>0</v>
      </c>
      <c r="Y263" s="84">
        <f t="shared" si="198"/>
        <v>0</v>
      </c>
      <c r="Z263" s="84">
        <f t="shared" si="198"/>
        <v>0</v>
      </c>
      <c r="AA263" s="84">
        <f t="shared" si="198"/>
        <v>0</v>
      </c>
      <c r="AB263" s="84">
        <f t="shared" si="198"/>
        <v>0</v>
      </c>
      <c r="AC263" s="84">
        <f t="shared" si="198"/>
        <v>0</v>
      </c>
      <c r="AD263" s="84">
        <f t="shared" si="198"/>
        <v>0</v>
      </c>
      <c r="AE263" s="84">
        <f t="shared" si="198"/>
        <v>0</v>
      </c>
      <c r="AF263" s="84">
        <f t="shared" si="198"/>
        <v>0</v>
      </c>
      <c r="AG263" s="84">
        <f t="shared" si="198"/>
        <v>0</v>
      </c>
      <c r="AH263" s="84">
        <f t="shared" si="198"/>
        <v>0</v>
      </c>
      <c r="AI263" s="84">
        <f t="shared" si="198"/>
        <v>0</v>
      </c>
      <c r="AJ263" s="84">
        <f t="shared" si="198"/>
        <v>0</v>
      </c>
      <c r="AK263" s="84">
        <f t="shared" si="198"/>
        <v>0</v>
      </c>
      <c r="AL263" s="84">
        <f t="shared" si="198"/>
        <v>0</v>
      </c>
      <c r="AM263" s="84">
        <f t="shared" si="198"/>
        <v>0</v>
      </c>
      <c r="AN263" s="60"/>
      <c r="AO263" s="87">
        <f t="shared" si="182"/>
        <v>0</v>
      </c>
      <c r="AP263" s="60" t="b">
        <f t="shared" si="183"/>
        <v>1</v>
      </c>
    </row>
    <row r="264" spans="1:42" ht="12" customHeight="1" outlineLevel="1">
      <c r="A264" s="84">
        <v>16</v>
      </c>
      <c r="B264" s="60">
        <f t="shared" si="184"/>
        <v>2040</v>
      </c>
      <c r="C264" s="34">
        <v>0</v>
      </c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87">
        <f>IF(S$26,MIN($C264,MAX($C264/$C$245,$C264/(S$26/12))),0)</f>
        <v>0</v>
      </c>
      <c r="T264" s="84">
        <f t="shared" ref="T264:AM264" si="199">IF(AND(T$24-$A264&lt;$C$245,T$26&gt;0),S264*(T$25/12),0)</f>
        <v>0</v>
      </c>
      <c r="U264" s="84">
        <f t="shared" si="199"/>
        <v>0</v>
      </c>
      <c r="V264" s="84">
        <f t="shared" si="199"/>
        <v>0</v>
      </c>
      <c r="W264" s="84">
        <f t="shared" si="199"/>
        <v>0</v>
      </c>
      <c r="X264" s="84">
        <f t="shared" si="199"/>
        <v>0</v>
      </c>
      <c r="Y264" s="84">
        <f t="shared" si="199"/>
        <v>0</v>
      </c>
      <c r="Z264" s="84">
        <f t="shared" si="199"/>
        <v>0</v>
      </c>
      <c r="AA264" s="84">
        <f t="shared" si="199"/>
        <v>0</v>
      </c>
      <c r="AB264" s="84">
        <f t="shared" si="199"/>
        <v>0</v>
      </c>
      <c r="AC264" s="84">
        <f t="shared" si="199"/>
        <v>0</v>
      </c>
      <c r="AD264" s="84">
        <f t="shared" si="199"/>
        <v>0</v>
      </c>
      <c r="AE264" s="84">
        <f t="shared" si="199"/>
        <v>0</v>
      </c>
      <c r="AF264" s="84">
        <f t="shared" si="199"/>
        <v>0</v>
      </c>
      <c r="AG264" s="84">
        <f t="shared" si="199"/>
        <v>0</v>
      </c>
      <c r="AH264" s="84">
        <f t="shared" si="199"/>
        <v>0</v>
      </c>
      <c r="AI264" s="84">
        <f t="shared" si="199"/>
        <v>0</v>
      </c>
      <c r="AJ264" s="84">
        <f t="shared" si="199"/>
        <v>0</v>
      </c>
      <c r="AK264" s="84">
        <f t="shared" si="199"/>
        <v>0</v>
      </c>
      <c r="AL264" s="84">
        <f t="shared" si="199"/>
        <v>0</v>
      </c>
      <c r="AM264" s="84">
        <f t="shared" si="199"/>
        <v>0</v>
      </c>
      <c r="AN264" s="60"/>
      <c r="AO264" s="87">
        <f t="shared" si="182"/>
        <v>0</v>
      </c>
      <c r="AP264" s="60" t="b">
        <f t="shared" si="183"/>
        <v>1</v>
      </c>
    </row>
    <row r="265" spans="1:42" ht="12" customHeight="1" outlineLevel="1">
      <c r="A265" s="84">
        <v>17</v>
      </c>
      <c r="B265" s="60">
        <f t="shared" si="184"/>
        <v>2041</v>
      </c>
      <c r="C265" s="34">
        <v>0</v>
      </c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87">
        <f>IF(T$26,MIN($C265,MAX($C265/$C$245,$C265/(T$26/12))),0)</f>
        <v>0</v>
      </c>
      <c r="U265" s="84">
        <f t="shared" ref="U265:AM265" si="200">IF(AND(U$24-$A265&lt;$C$245,U$26&gt;0),T265*(U$25/12),0)</f>
        <v>0</v>
      </c>
      <c r="V265" s="84">
        <f t="shared" si="200"/>
        <v>0</v>
      </c>
      <c r="W265" s="84">
        <f t="shared" si="200"/>
        <v>0</v>
      </c>
      <c r="X265" s="84">
        <f t="shared" si="200"/>
        <v>0</v>
      </c>
      <c r="Y265" s="84">
        <f t="shared" si="200"/>
        <v>0</v>
      </c>
      <c r="Z265" s="84">
        <f t="shared" si="200"/>
        <v>0</v>
      </c>
      <c r="AA265" s="84">
        <f t="shared" si="200"/>
        <v>0</v>
      </c>
      <c r="AB265" s="84">
        <f t="shared" si="200"/>
        <v>0</v>
      </c>
      <c r="AC265" s="84">
        <f t="shared" si="200"/>
        <v>0</v>
      </c>
      <c r="AD265" s="84">
        <f t="shared" si="200"/>
        <v>0</v>
      </c>
      <c r="AE265" s="84">
        <f t="shared" si="200"/>
        <v>0</v>
      </c>
      <c r="AF265" s="84">
        <f t="shared" si="200"/>
        <v>0</v>
      </c>
      <c r="AG265" s="84">
        <f t="shared" si="200"/>
        <v>0</v>
      </c>
      <c r="AH265" s="84">
        <f t="shared" si="200"/>
        <v>0</v>
      </c>
      <c r="AI265" s="84">
        <f t="shared" si="200"/>
        <v>0</v>
      </c>
      <c r="AJ265" s="84">
        <f t="shared" si="200"/>
        <v>0</v>
      </c>
      <c r="AK265" s="84">
        <f t="shared" si="200"/>
        <v>0</v>
      </c>
      <c r="AL265" s="84">
        <f t="shared" si="200"/>
        <v>0</v>
      </c>
      <c r="AM265" s="84">
        <f t="shared" si="200"/>
        <v>0</v>
      </c>
      <c r="AN265" s="60"/>
      <c r="AO265" s="87">
        <f t="shared" si="182"/>
        <v>0</v>
      </c>
      <c r="AP265" s="60" t="b">
        <f t="shared" si="183"/>
        <v>1</v>
      </c>
    </row>
    <row r="266" spans="1:42" ht="12" customHeight="1" outlineLevel="1">
      <c r="A266" s="84">
        <v>18</v>
      </c>
      <c r="B266" s="60">
        <f t="shared" si="184"/>
        <v>2042</v>
      </c>
      <c r="C266" s="34">
        <v>0</v>
      </c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87">
        <f>IF(U$26,MIN($C266,MAX($C266/$C$245,$C266/(U$26/12))),0)</f>
        <v>0</v>
      </c>
      <c r="V266" s="84">
        <f t="shared" ref="V266:AM266" si="201">IF(AND(V$24-$A266&lt;$C$245,V$26&gt;0),U266*(V$25/12),0)</f>
        <v>0</v>
      </c>
      <c r="W266" s="84">
        <f t="shared" si="201"/>
        <v>0</v>
      </c>
      <c r="X266" s="84">
        <f t="shared" si="201"/>
        <v>0</v>
      </c>
      <c r="Y266" s="84">
        <f t="shared" si="201"/>
        <v>0</v>
      </c>
      <c r="Z266" s="84">
        <f t="shared" si="201"/>
        <v>0</v>
      </c>
      <c r="AA266" s="84">
        <f t="shared" si="201"/>
        <v>0</v>
      </c>
      <c r="AB266" s="84">
        <f t="shared" si="201"/>
        <v>0</v>
      </c>
      <c r="AC266" s="84">
        <f t="shared" si="201"/>
        <v>0</v>
      </c>
      <c r="AD266" s="84">
        <f t="shared" si="201"/>
        <v>0</v>
      </c>
      <c r="AE266" s="84">
        <f t="shared" si="201"/>
        <v>0</v>
      </c>
      <c r="AF266" s="84">
        <f t="shared" si="201"/>
        <v>0</v>
      </c>
      <c r="AG266" s="84">
        <f t="shared" si="201"/>
        <v>0</v>
      </c>
      <c r="AH266" s="84">
        <f t="shared" si="201"/>
        <v>0</v>
      </c>
      <c r="AI266" s="84">
        <f t="shared" si="201"/>
        <v>0</v>
      </c>
      <c r="AJ266" s="84">
        <f t="shared" si="201"/>
        <v>0</v>
      </c>
      <c r="AK266" s="84">
        <f t="shared" si="201"/>
        <v>0</v>
      </c>
      <c r="AL266" s="84">
        <f t="shared" si="201"/>
        <v>0</v>
      </c>
      <c r="AM266" s="84">
        <f t="shared" si="201"/>
        <v>0</v>
      </c>
      <c r="AN266" s="60"/>
      <c r="AO266" s="87">
        <f t="shared" si="182"/>
        <v>0</v>
      </c>
      <c r="AP266" s="60" t="b">
        <f t="shared" si="183"/>
        <v>1</v>
      </c>
    </row>
    <row r="267" spans="1:42" ht="12" customHeight="1" outlineLevel="1">
      <c r="A267" s="84">
        <v>19</v>
      </c>
      <c r="B267" s="60">
        <f t="shared" si="184"/>
        <v>2043</v>
      </c>
      <c r="C267" s="34">
        <v>0</v>
      </c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87">
        <f>IF(V$26,MIN($C267,MAX($C267/$C$245,$C267/(V$26/12))),0)</f>
        <v>0</v>
      </c>
      <c r="W267" s="84">
        <f t="shared" ref="W267:AM267" si="202">IF(AND(W$24-$A267&lt;$C$245,W$26&gt;0),V267*(W$25/12),0)</f>
        <v>0</v>
      </c>
      <c r="X267" s="84">
        <f t="shared" si="202"/>
        <v>0</v>
      </c>
      <c r="Y267" s="84">
        <f t="shared" si="202"/>
        <v>0</v>
      </c>
      <c r="Z267" s="84">
        <f t="shared" si="202"/>
        <v>0</v>
      </c>
      <c r="AA267" s="84">
        <f t="shared" si="202"/>
        <v>0</v>
      </c>
      <c r="AB267" s="84">
        <f t="shared" si="202"/>
        <v>0</v>
      </c>
      <c r="AC267" s="84">
        <f t="shared" si="202"/>
        <v>0</v>
      </c>
      <c r="AD267" s="84">
        <f t="shared" si="202"/>
        <v>0</v>
      </c>
      <c r="AE267" s="84">
        <f t="shared" si="202"/>
        <v>0</v>
      </c>
      <c r="AF267" s="84">
        <f t="shared" si="202"/>
        <v>0</v>
      </c>
      <c r="AG267" s="84">
        <f t="shared" si="202"/>
        <v>0</v>
      </c>
      <c r="AH267" s="84">
        <f t="shared" si="202"/>
        <v>0</v>
      </c>
      <c r="AI267" s="84">
        <f t="shared" si="202"/>
        <v>0</v>
      </c>
      <c r="AJ267" s="84">
        <f t="shared" si="202"/>
        <v>0</v>
      </c>
      <c r="AK267" s="84">
        <f t="shared" si="202"/>
        <v>0</v>
      </c>
      <c r="AL267" s="84">
        <f t="shared" si="202"/>
        <v>0</v>
      </c>
      <c r="AM267" s="84">
        <f t="shared" si="202"/>
        <v>0</v>
      </c>
      <c r="AN267" s="60"/>
      <c r="AO267" s="87">
        <f t="shared" si="182"/>
        <v>0</v>
      </c>
      <c r="AP267" s="60" t="b">
        <f t="shared" si="183"/>
        <v>1</v>
      </c>
    </row>
    <row r="268" spans="1:42" ht="12" customHeight="1" outlineLevel="1">
      <c r="A268" s="84">
        <v>20</v>
      </c>
      <c r="B268" s="60">
        <f t="shared" si="184"/>
        <v>2044</v>
      </c>
      <c r="C268" s="34">
        <v>0</v>
      </c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87">
        <f>IF(W$26,MIN($C268,MAX($C268/$C$245,$C268/(W$26/12))),0)</f>
        <v>0</v>
      </c>
      <c r="X268" s="84">
        <f t="shared" ref="X268:AM268" si="203">IF(AND(X$24-$A268&lt;$C$245,X$26&gt;0),W268*(X$25/12),0)</f>
        <v>0</v>
      </c>
      <c r="Y268" s="84">
        <f t="shared" si="203"/>
        <v>0</v>
      </c>
      <c r="Z268" s="84">
        <f t="shared" si="203"/>
        <v>0</v>
      </c>
      <c r="AA268" s="84">
        <f t="shared" si="203"/>
        <v>0</v>
      </c>
      <c r="AB268" s="84">
        <f t="shared" si="203"/>
        <v>0</v>
      </c>
      <c r="AC268" s="84">
        <f t="shared" si="203"/>
        <v>0</v>
      </c>
      <c r="AD268" s="84">
        <f t="shared" si="203"/>
        <v>0</v>
      </c>
      <c r="AE268" s="84">
        <f t="shared" si="203"/>
        <v>0</v>
      </c>
      <c r="AF268" s="84">
        <f t="shared" si="203"/>
        <v>0</v>
      </c>
      <c r="AG268" s="84">
        <f t="shared" si="203"/>
        <v>0</v>
      </c>
      <c r="AH268" s="84">
        <f t="shared" si="203"/>
        <v>0</v>
      </c>
      <c r="AI268" s="84">
        <f t="shared" si="203"/>
        <v>0</v>
      </c>
      <c r="AJ268" s="84">
        <f t="shared" si="203"/>
        <v>0</v>
      </c>
      <c r="AK268" s="84">
        <f t="shared" si="203"/>
        <v>0</v>
      </c>
      <c r="AL268" s="84">
        <f t="shared" si="203"/>
        <v>0</v>
      </c>
      <c r="AM268" s="84">
        <f t="shared" si="203"/>
        <v>0</v>
      </c>
      <c r="AN268" s="60"/>
      <c r="AO268" s="87">
        <f t="shared" si="182"/>
        <v>0</v>
      </c>
      <c r="AP268" s="60" t="b">
        <f t="shared" si="183"/>
        <v>1</v>
      </c>
    </row>
    <row r="269" spans="1:42" ht="12" customHeight="1" outlineLevel="1">
      <c r="A269" s="84">
        <v>21</v>
      </c>
      <c r="B269" s="60">
        <f t="shared" si="184"/>
        <v>2045</v>
      </c>
      <c r="C269" s="34">
        <v>0</v>
      </c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87">
        <f>IF(X$26,MIN($C269,MAX($C269/$C$245,$C269/(X$26/12))),0)</f>
        <v>0</v>
      </c>
      <c r="Y269" s="84">
        <f t="shared" ref="Y269:AM269" si="204">IF(AND(Y$24-$A269&lt;$C$245,Y$26&gt;0),X269*(Y$25/12),0)</f>
        <v>0</v>
      </c>
      <c r="Z269" s="84">
        <f t="shared" si="204"/>
        <v>0</v>
      </c>
      <c r="AA269" s="84">
        <f t="shared" si="204"/>
        <v>0</v>
      </c>
      <c r="AB269" s="84">
        <f t="shared" si="204"/>
        <v>0</v>
      </c>
      <c r="AC269" s="84">
        <f t="shared" si="204"/>
        <v>0</v>
      </c>
      <c r="AD269" s="84">
        <f t="shared" si="204"/>
        <v>0</v>
      </c>
      <c r="AE269" s="84">
        <f t="shared" si="204"/>
        <v>0</v>
      </c>
      <c r="AF269" s="84">
        <f t="shared" si="204"/>
        <v>0</v>
      </c>
      <c r="AG269" s="84">
        <f t="shared" si="204"/>
        <v>0</v>
      </c>
      <c r="AH269" s="84">
        <f t="shared" si="204"/>
        <v>0</v>
      </c>
      <c r="AI269" s="84">
        <f t="shared" si="204"/>
        <v>0</v>
      </c>
      <c r="AJ269" s="84">
        <f t="shared" si="204"/>
        <v>0</v>
      </c>
      <c r="AK269" s="84">
        <f t="shared" si="204"/>
        <v>0</v>
      </c>
      <c r="AL269" s="84">
        <f t="shared" si="204"/>
        <v>0</v>
      </c>
      <c r="AM269" s="84">
        <f t="shared" si="204"/>
        <v>0</v>
      </c>
      <c r="AN269" s="60"/>
      <c r="AO269" s="87">
        <f t="shared" si="182"/>
        <v>0</v>
      </c>
      <c r="AP269" s="60" t="b">
        <f t="shared" si="183"/>
        <v>1</v>
      </c>
    </row>
    <row r="270" spans="1:42" ht="12" customHeight="1" outlineLevel="1">
      <c r="A270" s="84">
        <v>22</v>
      </c>
      <c r="B270" s="60">
        <f t="shared" si="184"/>
        <v>2046</v>
      </c>
      <c r="C270" s="34">
        <v>0</v>
      </c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87">
        <f>IF(Y$26,MIN($C270,MAX($C270/$C$245,$C270/(Y$26/12))),0)</f>
        <v>0</v>
      </c>
      <c r="Z270" s="84">
        <f t="shared" ref="Z270:AM270" si="205">IF(AND(Z$24-$A270&lt;$C$245,Z$26&gt;0),Y270*(Z$25/12),0)</f>
        <v>0</v>
      </c>
      <c r="AA270" s="84">
        <f t="shared" si="205"/>
        <v>0</v>
      </c>
      <c r="AB270" s="84">
        <f t="shared" si="205"/>
        <v>0</v>
      </c>
      <c r="AC270" s="84">
        <f t="shared" si="205"/>
        <v>0</v>
      </c>
      <c r="AD270" s="84">
        <f t="shared" si="205"/>
        <v>0</v>
      </c>
      <c r="AE270" s="84">
        <f t="shared" si="205"/>
        <v>0</v>
      </c>
      <c r="AF270" s="84">
        <f t="shared" si="205"/>
        <v>0</v>
      </c>
      <c r="AG270" s="84">
        <f t="shared" si="205"/>
        <v>0</v>
      </c>
      <c r="AH270" s="84">
        <f t="shared" si="205"/>
        <v>0</v>
      </c>
      <c r="AI270" s="84">
        <f t="shared" si="205"/>
        <v>0</v>
      </c>
      <c r="AJ270" s="84">
        <f t="shared" si="205"/>
        <v>0</v>
      </c>
      <c r="AK270" s="84">
        <f t="shared" si="205"/>
        <v>0</v>
      </c>
      <c r="AL270" s="84">
        <f t="shared" si="205"/>
        <v>0</v>
      </c>
      <c r="AM270" s="84">
        <f t="shared" si="205"/>
        <v>0</v>
      </c>
      <c r="AN270" s="60"/>
      <c r="AO270" s="87">
        <f t="shared" si="182"/>
        <v>0</v>
      </c>
      <c r="AP270" s="60" t="b">
        <f t="shared" si="183"/>
        <v>1</v>
      </c>
    </row>
    <row r="271" spans="1:42" ht="12" customHeight="1" outlineLevel="1">
      <c r="A271" s="84">
        <v>23</v>
      </c>
      <c r="B271" s="60">
        <f t="shared" si="184"/>
        <v>2047</v>
      </c>
      <c r="C271" s="34">
        <v>0</v>
      </c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87">
        <f>IF(Z$26,MIN($C271,MAX($C271/$C$245,$C271/(Z$26/12))),0)</f>
        <v>0</v>
      </c>
      <c r="AA271" s="84">
        <f t="shared" ref="AA271:AM271" si="206">IF(AND(AA$24-$A271&lt;$C$245,AA$26&gt;0),Z271*(AA$25/12),0)</f>
        <v>0</v>
      </c>
      <c r="AB271" s="84">
        <f t="shared" si="206"/>
        <v>0</v>
      </c>
      <c r="AC271" s="84">
        <f t="shared" si="206"/>
        <v>0</v>
      </c>
      <c r="AD271" s="84">
        <f t="shared" si="206"/>
        <v>0</v>
      </c>
      <c r="AE271" s="84">
        <f t="shared" si="206"/>
        <v>0</v>
      </c>
      <c r="AF271" s="84">
        <f t="shared" si="206"/>
        <v>0</v>
      </c>
      <c r="AG271" s="84">
        <f t="shared" si="206"/>
        <v>0</v>
      </c>
      <c r="AH271" s="84">
        <f t="shared" si="206"/>
        <v>0</v>
      </c>
      <c r="AI271" s="84">
        <f t="shared" si="206"/>
        <v>0</v>
      </c>
      <c r="AJ271" s="84">
        <f t="shared" si="206"/>
        <v>0</v>
      </c>
      <c r="AK271" s="84">
        <f t="shared" si="206"/>
        <v>0</v>
      </c>
      <c r="AL271" s="84">
        <f t="shared" si="206"/>
        <v>0</v>
      </c>
      <c r="AM271" s="84">
        <f t="shared" si="206"/>
        <v>0</v>
      </c>
      <c r="AN271" s="60"/>
      <c r="AO271" s="87">
        <f t="shared" si="182"/>
        <v>0</v>
      </c>
      <c r="AP271" s="60" t="b">
        <f t="shared" si="183"/>
        <v>1</v>
      </c>
    </row>
    <row r="272" spans="1:42" ht="12" customHeight="1" outlineLevel="1">
      <c r="A272" s="84">
        <v>24</v>
      </c>
      <c r="B272" s="60">
        <f t="shared" si="184"/>
        <v>2048</v>
      </c>
      <c r="C272" s="34">
        <v>0</v>
      </c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87">
        <f>IF(AA$26,MIN($C272,MAX($C272/$C$245,$C272/(AA$26/12))),0)</f>
        <v>0</v>
      </c>
      <c r="AB272" s="84">
        <f t="shared" ref="AB272:AM272" si="207">IF(AND(AB$24-$A272&lt;$C$245,AB$26&gt;0),AA272*(AB$25/12),0)</f>
        <v>0</v>
      </c>
      <c r="AC272" s="84">
        <f t="shared" si="207"/>
        <v>0</v>
      </c>
      <c r="AD272" s="84">
        <f t="shared" si="207"/>
        <v>0</v>
      </c>
      <c r="AE272" s="84">
        <f t="shared" si="207"/>
        <v>0</v>
      </c>
      <c r="AF272" s="84">
        <f t="shared" si="207"/>
        <v>0</v>
      </c>
      <c r="AG272" s="84">
        <f t="shared" si="207"/>
        <v>0</v>
      </c>
      <c r="AH272" s="84">
        <f t="shared" si="207"/>
        <v>0</v>
      </c>
      <c r="AI272" s="84">
        <f t="shared" si="207"/>
        <v>0</v>
      </c>
      <c r="AJ272" s="84">
        <f t="shared" si="207"/>
        <v>0</v>
      </c>
      <c r="AK272" s="84">
        <f t="shared" si="207"/>
        <v>0</v>
      </c>
      <c r="AL272" s="84">
        <f t="shared" si="207"/>
        <v>0</v>
      </c>
      <c r="AM272" s="84">
        <f t="shared" si="207"/>
        <v>0</v>
      </c>
      <c r="AN272" s="60"/>
      <c r="AO272" s="87">
        <f t="shared" si="182"/>
        <v>0</v>
      </c>
      <c r="AP272" s="60" t="b">
        <f t="shared" si="183"/>
        <v>1</v>
      </c>
    </row>
    <row r="273" spans="1:42" ht="12" customHeight="1" outlineLevel="1">
      <c r="A273" s="84">
        <v>25</v>
      </c>
      <c r="B273" s="60">
        <f t="shared" si="184"/>
        <v>2049</v>
      </c>
      <c r="C273" s="34">
        <v>0</v>
      </c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87">
        <f>IF(AB$26,MIN($C273,MAX($C273/$C$245,$C273/(AB$26/12))),0)</f>
        <v>0</v>
      </c>
      <c r="AC273" s="84">
        <f t="shared" ref="AC273:AM273" si="208">IF(AND(AC$24-$A273&lt;$C$245,AC$26&gt;0),AB273*(AC$25/12),0)</f>
        <v>0</v>
      </c>
      <c r="AD273" s="84">
        <f t="shared" si="208"/>
        <v>0</v>
      </c>
      <c r="AE273" s="84">
        <f t="shared" si="208"/>
        <v>0</v>
      </c>
      <c r="AF273" s="84">
        <f t="shared" si="208"/>
        <v>0</v>
      </c>
      <c r="AG273" s="84">
        <f t="shared" si="208"/>
        <v>0</v>
      </c>
      <c r="AH273" s="84">
        <f t="shared" si="208"/>
        <v>0</v>
      </c>
      <c r="AI273" s="84">
        <f t="shared" si="208"/>
        <v>0</v>
      </c>
      <c r="AJ273" s="84">
        <f t="shared" si="208"/>
        <v>0</v>
      </c>
      <c r="AK273" s="84">
        <f t="shared" si="208"/>
        <v>0</v>
      </c>
      <c r="AL273" s="84">
        <f t="shared" si="208"/>
        <v>0</v>
      </c>
      <c r="AM273" s="84">
        <f t="shared" si="208"/>
        <v>0</v>
      </c>
      <c r="AN273" s="60"/>
      <c r="AO273" s="87">
        <f t="shared" si="182"/>
        <v>0</v>
      </c>
      <c r="AP273" s="60" t="b">
        <f t="shared" si="183"/>
        <v>1</v>
      </c>
    </row>
    <row r="274" spans="1:42" ht="12" customHeight="1" outlineLevel="1">
      <c r="A274" s="84">
        <v>26</v>
      </c>
      <c r="B274" s="60">
        <f t="shared" si="184"/>
        <v>2050</v>
      </c>
      <c r="C274" s="34">
        <v>0</v>
      </c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87">
        <f>IF(AC$26,MIN($C274,MAX($C274/$C$245,$C274/(AC$26/12))),0)</f>
        <v>0</v>
      </c>
      <c r="AD274" s="84">
        <f t="shared" ref="AD274:AM274" si="209">IF(AND(AD$24-$A274&lt;$C$245,AD$26&gt;0),AC274*(AD$25/12),0)</f>
        <v>0</v>
      </c>
      <c r="AE274" s="84">
        <f t="shared" si="209"/>
        <v>0</v>
      </c>
      <c r="AF274" s="84">
        <f t="shared" si="209"/>
        <v>0</v>
      </c>
      <c r="AG274" s="84">
        <f t="shared" si="209"/>
        <v>0</v>
      </c>
      <c r="AH274" s="84">
        <f t="shared" si="209"/>
        <v>0</v>
      </c>
      <c r="AI274" s="84">
        <f t="shared" si="209"/>
        <v>0</v>
      </c>
      <c r="AJ274" s="84">
        <f t="shared" si="209"/>
        <v>0</v>
      </c>
      <c r="AK274" s="84">
        <f t="shared" si="209"/>
        <v>0</v>
      </c>
      <c r="AL274" s="84">
        <f t="shared" si="209"/>
        <v>0</v>
      </c>
      <c r="AM274" s="84">
        <f t="shared" si="209"/>
        <v>0</v>
      </c>
      <c r="AN274" s="60"/>
      <c r="AO274" s="87">
        <f t="shared" si="182"/>
        <v>0</v>
      </c>
      <c r="AP274" s="60" t="b">
        <f t="shared" si="183"/>
        <v>1</v>
      </c>
    </row>
    <row r="275" spans="1:42" ht="12" customHeight="1" outlineLevel="1">
      <c r="A275" s="84">
        <v>27</v>
      </c>
      <c r="B275" s="60">
        <f t="shared" si="184"/>
        <v>2051</v>
      </c>
      <c r="C275" s="34">
        <v>0</v>
      </c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87">
        <f>IF(AD$26,MIN($C275,MAX($C275/$C$245,$C275/(AD$26/12))),0)</f>
        <v>0</v>
      </c>
      <c r="AE275" s="84">
        <f t="shared" ref="AE275:AM275" si="210">IF(AND(AE$24-$A275&lt;$C$245,AE$26&gt;0),AD275*(AE$25/12),0)</f>
        <v>0</v>
      </c>
      <c r="AF275" s="84">
        <f t="shared" si="210"/>
        <v>0</v>
      </c>
      <c r="AG275" s="84">
        <f t="shared" si="210"/>
        <v>0</v>
      </c>
      <c r="AH275" s="84">
        <f t="shared" si="210"/>
        <v>0</v>
      </c>
      <c r="AI275" s="84">
        <f t="shared" si="210"/>
        <v>0</v>
      </c>
      <c r="AJ275" s="84">
        <f t="shared" si="210"/>
        <v>0</v>
      </c>
      <c r="AK275" s="84">
        <f t="shared" si="210"/>
        <v>0</v>
      </c>
      <c r="AL275" s="84">
        <f t="shared" si="210"/>
        <v>0</v>
      </c>
      <c r="AM275" s="84">
        <f t="shared" si="210"/>
        <v>0</v>
      </c>
      <c r="AN275" s="60"/>
      <c r="AO275" s="87">
        <f t="shared" si="182"/>
        <v>0</v>
      </c>
      <c r="AP275" s="60" t="b">
        <f t="shared" si="183"/>
        <v>1</v>
      </c>
    </row>
    <row r="276" spans="1:42" ht="12" customHeight="1" outlineLevel="1">
      <c r="A276" s="84">
        <v>28</v>
      </c>
      <c r="B276" s="60">
        <f t="shared" si="184"/>
        <v>2052</v>
      </c>
      <c r="C276" s="34">
        <v>0</v>
      </c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87">
        <f>IF(AE$26,MIN($C276,MAX($C276/$C$245,$C276/(AE$26/12))),0)</f>
        <v>0</v>
      </c>
      <c r="AF276" s="84">
        <f t="shared" ref="AF276:AM276" si="211">IF(AND(AF$24-$A276&lt;$C$245,AF$26&gt;0),AE276*(AF$25/12),0)</f>
        <v>0</v>
      </c>
      <c r="AG276" s="84">
        <f t="shared" si="211"/>
        <v>0</v>
      </c>
      <c r="AH276" s="84">
        <f t="shared" si="211"/>
        <v>0</v>
      </c>
      <c r="AI276" s="84">
        <f t="shared" si="211"/>
        <v>0</v>
      </c>
      <c r="AJ276" s="84">
        <f t="shared" si="211"/>
        <v>0</v>
      </c>
      <c r="AK276" s="84">
        <f t="shared" si="211"/>
        <v>0</v>
      </c>
      <c r="AL276" s="84">
        <f t="shared" si="211"/>
        <v>0</v>
      </c>
      <c r="AM276" s="84">
        <f t="shared" si="211"/>
        <v>0</v>
      </c>
      <c r="AN276" s="60"/>
      <c r="AO276" s="87">
        <f t="shared" si="182"/>
        <v>0</v>
      </c>
      <c r="AP276" s="60" t="b">
        <f t="shared" si="183"/>
        <v>1</v>
      </c>
    </row>
    <row r="277" spans="1:42" ht="12" customHeight="1" outlineLevel="1">
      <c r="A277" s="84">
        <v>29</v>
      </c>
      <c r="B277" s="60">
        <f t="shared" si="184"/>
        <v>2053</v>
      </c>
      <c r="C277" s="34">
        <v>0</v>
      </c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87">
        <f>IF(AF$26,MIN($C277,MAX($C277/$C$245,$C277/(AF$26/12))),0)</f>
        <v>0</v>
      </c>
      <c r="AG277" s="84">
        <f t="shared" ref="AG277:AM277" si="212">IF(AND(AG$24-$A277&lt;$C$245,AG$26&gt;0),AF277*(AG$25/12),0)</f>
        <v>0</v>
      </c>
      <c r="AH277" s="84">
        <f t="shared" si="212"/>
        <v>0</v>
      </c>
      <c r="AI277" s="84">
        <f t="shared" si="212"/>
        <v>0</v>
      </c>
      <c r="AJ277" s="84">
        <f t="shared" si="212"/>
        <v>0</v>
      </c>
      <c r="AK277" s="84">
        <f t="shared" si="212"/>
        <v>0</v>
      </c>
      <c r="AL277" s="84">
        <f t="shared" si="212"/>
        <v>0</v>
      </c>
      <c r="AM277" s="84">
        <f t="shared" si="212"/>
        <v>0</v>
      </c>
      <c r="AN277" s="60"/>
      <c r="AO277" s="87">
        <f t="shared" si="182"/>
        <v>0</v>
      </c>
      <c r="AP277" s="60" t="b">
        <f t="shared" si="183"/>
        <v>1</v>
      </c>
    </row>
    <row r="278" spans="1:42" ht="12" customHeight="1" outlineLevel="1">
      <c r="A278" s="84">
        <v>30</v>
      </c>
      <c r="B278" s="60">
        <f t="shared" si="184"/>
        <v>2054</v>
      </c>
      <c r="C278" s="34">
        <v>0</v>
      </c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87">
        <f>IF(AG$26,MIN($C278,MAX($C278/$C$245,$C278/(AG$26/12))),0)</f>
        <v>0</v>
      </c>
      <c r="AH278" s="84">
        <f t="shared" ref="AH278:AM278" si="213">IF(AND(AH$24-$A278&lt;$C$245,AH$26&gt;0),AG278*(AH$25/12),0)</f>
        <v>0</v>
      </c>
      <c r="AI278" s="84">
        <f t="shared" si="213"/>
        <v>0</v>
      </c>
      <c r="AJ278" s="84">
        <f t="shared" si="213"/>
        <v>0</v>
      </c>
      <c r="AK278" s="84">
        <f t="shared" si="213"/>
        <v>0</v>
      </c>
      <c r="AL278" s="84">
        <f t="shared" si="213"/>
        <v>0</v>
      </c>
      <c r="AM278" s="84">
        <f t="shared" si="213"/>
        <v>0</v>
      </c>
      <c r="AN278" s="60"/>
      <c r="AO278" s="87">
        <f t="shared" si="182"/>
        <v>0</v>
      </c>
      <c r="AP278" s="60" t="b">
        <f t="shared" si="183"/>
        <v>1</v>
      </c>
    </row>
    <row r="279" spans="1:42" ht="12" customHeight="1" outlineLevel="1">
      <c r="A279" s="84">
        <v>31</v>
      </c>
      <c r="B279" s="60">
        <f t="shared" si="184"/>
        <v>2055</v>
      </c>
      <c r="C279" s="34">
        <v>0</v>
      </c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87">
        <f>IF(AH$26,MIN($C279,MAX($C279/$C$245,$C279/(AH$26/12))),0)</f>
        <v>0</v>
      </c>
      <c r="AI279" s="84">
        <f>IF(AND(AI$24-$A279&lt;$C$245,AI$26&gt;0),AH279*(AI$25/12),0)</f>
        <v>0</v>
      </c>
      <c r="AJ279" s="84">
        <f>IF(AND(AJ$24-$A279&lt;$C$245,AJ$26&gt;0),AI279*(AJ$25/12),0)</f>
        <v>0</v>
      </c>
      <c r="AK279" s="84">
        <f>IF(AND(AK$24-$A279&lt;$C$245,AK$26&gt;0),AJ279*(AK$25/12),0)</f>
        <v>0</v>
      </c>
      <c r="AL279" s="84">
        <f>IF(AND(AL$24-$A279&lt;$C$245,AL$26&gt;0),AK279*(AL$25/12),0)</f>
        <v>0</v>
      </c>
      <c r="AM279" s="84">
        <f>IF(AND(AM$24-$A279&lt;$C$245,AM$26&gt;0),AL279*(AM$25/12),0)</f>
        <v>0</v>
      </c>
      <c r="AN279" s="60"/>
      <c r="AO279" s="87">
        <f t="shared" si="182"/>
        <v>0</v>
      </c>
      <c r="AP279" s="60" t="b">
        <f t="shared" si="183"/>
        <v>1</v>
      </c>
    </row>
    <row r="280" spans="1:42" ht="12" customHeight="1" outlineLevel="1">
      <c r="A280" s="84">
        <v>32</v>
      </c>
      <c r="B280" s="60">
        <f t="shared" si="184"/>
        <v>2056</v>
      </c>
      <c r="C280" s="34">
        <v>0</v>
      </c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87">
        <f>IF(AI$26,MIN($C280,MAX($C280/$C$245,$C280/(AI$26/12))),0)</f>
        <v>0</v>
      </c>
      <c r="AJ280" s="84">
        <f>IF(AND(AJ$24-$A280&lt;$C$245,AJ$26&gt;0),AI280*(AJ$25/12),0)</f>
        <v>0</v>
      </c>
      <c r="AK280" s="84">
        <f>IF(AND(AK$24-$A280&lt;$C$245,AK$26&gt;0),AJ280*(AK$25/12),0)</f>
        <v>0</v>
      </c>
      <c r="AL280" s="84">
        <f>IF(AND(AL$24-$A280&lt;$C$245,AL$26&gt;0),AK280*(AL$25/12),0)</f>
        <v>0</v>
      </c>
      <c r="AM280" s="84">
        <f>IF(AND(AM$24-$A280&lt;$C$245,AM$26&gt;0),AL280*(AM$25/12),0)</f>
        <v>0</v>
      </c>
      <c r="AN280" s="60"/>
      <c r="AO280" s="87">
        <f t="shared" si="182"/>
        <v>0</v>
      </c>
      <c r="AP280" s="60" t="b">
        <f t="shared" si="183"/>
        <v>1</v>
      </c>
    </row>
    <row r="281" spans="1:42" ht="12" customHeight="1" outlineLevel="1">
      <c r="A281" s="84">
        <v>33</v>
      </c>
      <c r="B281" s="60">
        <f t="shared" si="184"/>
        <v>2057</v>
      </c>
      <c r="C281" s="34">
        <v>0</v>
      </c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87">
        <f>IF(AJ$26,MIN($C281,MAX($C281/$C$245,$C281/(AJ$26/12))),0)</f>
        <v>0</v>
      </c>
      <c r="AK281" s="84">
        <f>IF(AND(AK$24-$A281&lt;$C$245,AK$26&gt;0),AJ281*(AK$25/12),0)</f>
        <v>0</v>
      </c>
      <c r="AL281" s="84">
        <f>IF(AND(AL$24-$A281&lt;$C$245,AL$26&gt;0),AK281*(AL$25/12),0)</f>
        <v>0</v>
      </c>
      <c r="AM281" s="84">
        <f>IF(AND(AM$24-$A281&lt;$C$245,AM$26&gt;0),AL281*(AM$25/12),0)</f>
        <v>0</v>
      </c>
      <c r="AN281" s="60"/>
      <c r="AO281" s="87">
        <f t="shared" si="182"/>
        <v>0</v>
      </c>
      <c r="AP281" s="60" t="b">
        <f t="shared" si="183"/>
        <v>1</v>
      </c>
    </row>
    <row r="282" spans="1:42" ht="12" customHeight="1" outlineLevel="1">
      <c r="A282" s="84">
        <v>34</v>
      </c>
      <c r="B282" s="60">
        <f t="shared" si="184"/>
        <v>2058</v>
      </c>
      <c r="C282" s="34">
        <v>0</v>
      </c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87">
        <f>IF(AK$26,MIN($C282,MAX($C282/$C$245,$C282/(AK$26/12))),0)</f>
        <v>0</v>
      </c>
      <c r="AL282" s="84">
        <f>IF(AND(AL$24-$A282&lt;$C$245,AL$26&gt;0),AK282*(AL$25/12),0)</f>
        <v>0</v>
      </c>
      <c r="AM282" s="84">
        <f>IF(AND(AM$24-$A282&lt;$C$245,AM$26&gt;0),AL282*(AM$25/12),0)</f>
        <v>0</v>
      </c>
      <c r="AN282" s="60"/>
      <c r="AO282" s="87">
        <f t="shared" si="182"/>
        <v>0</v>
      </c>
      <c r="AP282" s="60" t="b">
        <f t="shared" si="183"/>
        <v>1</v>
      </c>
    </row>
    <row r="283" spans="1:42" ht="12" customHeight="1" outlineLevel="1">
      <c r="A283" s="84">
        <v>35</v>
      </c>
      <c r="B283" s="60">
        <f t="shared" si="184"/>
        <v>2059</v>
      </c>
      <c r="C283" s="34">
        <v>0</v>
      </c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87">
        <f>IF(AL$26,MIN($C283,MAX($C283/$C$245,$C283/(AL$26/12))),0)</f>
        <v>0</v>
      </c>
      <c r="AM283" s="84">
        <f>IF(AND(AM$24-$A283&lt;$C$245,AM$26&gt;0),AL283*(AM$25/12),0)</f>
        <v>0</v>
      </c>
      <c r="AN283" s="60"/>
      <c r="AO283" s="87">
        <f t="shared" si="182"/>
        <v>0</v>
      </c>
      <c r="AP283" s="60" t="b">
        <f t="shared" si="183"/>
        <v>1</v>
      </c>
    </row>
    <row r="284" spans="1:42" ht="12" customHeight="1" outlineLevel="1">
      <c r="A284" s="128">
        <v>36</v>
      </c>
      <c r="B284" s="129">
        <f t="shared" si="184"/>
        <v>2060</v>
      </c>
      <c r="C284" s="130">
        <v>0</v>
      </c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31"/>
      <c r="AM284" s="131">
        <f>IF(AM$26,MIN($C284,MAX($C284/$C$245,$C284/(AM$26/12))),0)</f>
        <v>0</v>
      </c>
      <c r="AN284" s="60"/>
      <c r="AO284" s="131">
        <f t="shared" si="182"/>
        <v>0</v>
      </c>
      <c r="AP284" s="129" t="b">
        <f t="shared" si="183"/>
        <v>1</v>
      </c>
    </row>
    <row r="285" spans="1:42" ht="12" customHeight="1">
      <c r="A285" s="84"/>
      <c r="B285" s="60"/>
      <c r="C285" s="132">
        <f>SUM(C249:C283)</f>
        <v>15573.565366000003</v>
      </c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87">
        <f>SUM(AO249:AO284)</f>
        <v>15573.565366000003</v>
      </c>
      <c r="AP285" s="60" t="b">
        <f t="shared" si="183"/>
        <v>1</v>
      </c>
    </row>
  </sheetData>
  <sheetProtection password="C643" sheet="1" objects="1" scenarios="1"/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H21"/>
  <sheetViews>
    <sheetView showGridLines="0" zoomScaleNormal="100" zoomScalePageLayoutView="115" workbookViewId="0">
      <selection activeCell="G68" sqref="G68"/>
    </sheetView>
  </sheetViews>
  <sheetFormatPr defaultColWidth="10.7109375" defaultRowHeight="13.15" customHeight="1"/>
  <cols>
    <col min="1" max="1" width="3.42578125" style="176" customWidth="1"/>
    <col min="2" max="2" width="37.42578125" style="176" bestFit="1" customWidth="1"/>
    <col min="3" max="3" width="5.7109375" style="176" bestFit="1" customWidth="1"/>
    <col min="4" max="4" width="11.7109375" style="176" hidden="1" customWidth="1"/>
    <col min="5" max="31" width="11.7109375" style="176" customWidth="1"/>
    <col min="32" max="16384" width="10.7109375" style="176"/>
  </cols>
  <sheetData>
    <row r="1" spans="2:34" s="173" customFormat="1" ht="13.15" customHeight="1">
      <c r="B1" s="171" t="s">
        <v>460</v>
      </c>
      <c r="C1" s="171"/>
      <c r="D1" s="172"/>
      <c r="E1" s="171">
        <f>DRE!E1</f>
        <v>2025</v>
      </c>
      <c r="F1" s="171">
        <f>DRE!F1</f>
        <v>2026</v>
      </c>
      <c r="G1" s="171">
        <f>DRE!G1</f>
        <v>2027</v>
      </c>
      <c r="H1" s="171">
        <f>DRE!H1</f>
        <v>2028</v>
      </c>
      <c r="I1" s="171">
        <f>DRE!I1</f>
        <v>2029</v>
      </c>
      <c r="J1" s="171">
        <f>DRE!J1</f>
        <v>2030</v>
      </c>
      <c r="K1" s="171">
        <f>DRE!K1</f>
        <v>2031</v>
      </c>
      <c r="L1" s="171">
        <f>DRE!L1</f>
        <v>2032</v>
      </c>
      <c r="M1" s="171">
        <f>DRE!M1</f>
        <v>2033</v>
      </c>
      <c r="N1" s="171">
        <f>DRE!N1</f>
        <v>2034</v>
      </c>
      <c r="O1" s="171">
        <f>DRE!O1</f>
        <v>2035</v>
      </c>
      <c r="P1" s="171">
        <f>DRE!P1</f>
        <v>2036</v>
      </c>
      <c r="Q1" s="171">
        <f>DRE!Q1</f>
        <v>2037</v>
      </c>
      <c r="R1" s="171">
        <f>DRE!R1</f>
        <v>2038</v>
      </c>
      <c r="S1" s="171">
        <f>DRE!S1</f>
        <v>2039</v>
      </c>
      <c r="T1" s="171">
        <f>DRE!T1</f>
        <v>2040</v>
      </c>
      <c r="U1" s="171">
        <f>DRE!U1</f>
        <v>2041</v>
      </c>
      <c r="V1" s="171">
        <f>DRE!V1</f>
        <v>2042</v>
      </c>
      <c r="W1" s="171">
        <f>DRE!W1</f>
        <v>2043</v>
      </c>
      <c r="X1" s="171">
        <f>DRE!X1</f>
        <v>2044</v>
      </c>
      <c r="Y1" s="171">
        <f>DRE!Y1</f>
        <v>2045</v>
      </c>
      <c r="Z1" s="171">
        <f>DRE!Z1</f>
        <v>2046</v>
      </c>
      <c r="AA1" s="171">
        <f>DRE!AA1</f>
        <v>2047</v>
      </c>
      <c r="AB1" s="171">
        <f>DRE!AB1</f>
        <v>2048</v>
      </c>
      <c r="AC1" s="171">
        <f>DRE!AC1</f>
        <v>2049</v>
      </c>
      <c r="AD1" s="171">
        <f>DRE!AD1</f>
        <v>2050</v>
      </c>
      <c r="AE1" s="171">
        <f>DRE!AE1</f>
        <v>2051</v>
      </c>
      <c r="AF1" s="171">
        <f>DRE!AF1</f>
        <v>2052</v>
      </c>
      <c r="AG1" s="171">
        <f>DRE!AG1</f>
        <v>2053</v>
      </c>
      <c r="AH1" s="171">
        <f>DRE!AH1</f>
        <v>2054</v>
      </c>
    </row>
    <row r="2" spans="2:34" s="173" customFormat="1" ht="12.4" customHeight="1">
      <c r="B2" s="632"/>
      <c r="C2" s="633"/>
      <c r="D2" s="633"/>
      <c r="E2" s="174">
        <v>1</v>
      </c>
      <c r="F2" s="174">
        <v>2</v>
      </c>
      <c r="G2" s="174">
        <v>3</v>
      </c>
      <c r="H2" s="174">
        <v>4</v>
      </c>
      <c r="I2" s="174">
        <v>5</v>
      </c>
      <c r="J2" s="174">
        <v>6</v>
      </c>
      <c r="K2" s="174">
        <v>7</v>
      </c>
      <c r="L2" s="174">
        <v>8</v>
      </c>
      <c r="M2" s="174">
        <v>9</v>
      </c>
      <c r="N2" s="174">
        <v>10</v>
      </c>
      <c r="O2" s="174">
        <v>11</v>
      </c>
      <c r="P2" s="174">
        <v>12</v>
      </c>
      <c r="Q2" s="174">
        <v>13</v>
      </c>
      <c r="R2" s="174">
        <v>14</v>
      </c>
      <c r="S2" s="174">
        <v>15</v>
      </c>
      <c r="T2" s="174">
        <v>16</v>
      </c>
      <c r="U2" s="174">
        <v>17</v>
      </c>
      <c r="V2" s="174">
        <v>18</v>
      </c>
      <c r="W2" s="174">
        <v>19</v>
      </c>
      <c r="X2" s="174">
        <v>20</v>
      </c>
      <c r="Y2" s="174">
        <v>21</v>
      </c>
      <c r="Z2" s="174">
        <v>22</v>
      </c>
      <c r="AA2" s="174">
        <v>23</v>
      </c>
      <c r="AB2" s="174">
        <v>24</v>
      </c>
      <c r="AC2" s="174">
        <v>25</v>
      </c>
      <c r="AD2" s="174">
        <v>26</v>
      </c>
      <c r="AE2" s="174">
        <v>27</v>
      </c>
      <c r="AF2" s="174">
        <v>28</v>
      </c>
      <c r="AG2" s="174">
        <v>29</v>
      </c>
      <c r="AH2" s="174">
        <v>30</v>
      </c>
    </row>
    <row r="3" spans="2:34" s="173" customFormat="1" ht="12.75">
      <c r="B3" s="175" t="s">
        <v>461</v>
      </c>
      <c r="C3" s="632"/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32"/>
      <c r="AG3" s="632"/>
      <c r="AH3" s="632"/>
    </row>
    <row r="4" spans="2:34" s="173" customFormat="1" ht="15">
      <c r="B4" s="134" t="s">
        <v>462</v>
      </c>
      <c r="C4" s="632"/>
      <c r="D4" s="632"/>
      <c r="E4" s="634">
        <f>Macro!E6</f>
        <v>3.7999999999999999E-2</v>
      </c>
      <c r="F4" s="634">
        <f>Macro!F6</f>
        <v>3.5999999999999997E-2</v>
      </c>
      <c r="G4" s="634">
        <f>Macro!G6</f>
        <v>3.5000000000000003E-2</v>
      </c>
      <c r="H4" s="634">
        <f>Macro!H6</f>
        <v>3.5000000000000003E-2</v>
      </c>
      <c r="I4" s="634">
        <f>Macro!I6</f>
        <v>3.5000000000000003E-2</v>
      </c>
      <c r="J4" s="634">
        <f>Macro!J6</f>
        <v>3.5000000000000003E-2</v>
      </c>
      <c r="K4" s="634">
        <f>Macro!K6</f>
        <v>3.5000000000000003E-2</v>
      </c>
      <c r="L4" s="634">
        <f>Macro!L6</f>
        <v>3.5000000000000003E-2</v>
      </c>
      <c r="M4" s="634">
        <f>Macro!M6</f>
        <v>3.5000000000000003E-2</v>
      </c>
      <c r="N4" s="634">
        <f>Macro!N6</f>
        <v>3.5000000000000003E-2</v>
      </c>
      <c r="O4" s="634">
        <f>Macro!O6</f>
        <v>3.5000000000000003E-2</v>
      </c>
      <c r="P4" s="634">
        <f>Macro!P6</f>
        <v>3.5000000000000003E-2</v>
      </c>
      <c r="Q4" s="634">
        <f>Macro!Q6</f>
        <v>3.5000000000000003E-2</v>
      </c>
      <c r="R4" s="634">
        <f>Macro!R6</f>
        <v>3.5000000000000003E-2</v>
      </c>
      <c r="S4" s="634">
        <f>Macro!S6</f>
        <v>3.5000000000000003E-2</v>
      </c>
      <c r="T4" s="634">
        <f>Macro!T6</f>
        <v>3.5000000000000003E-2</v>
      </c>
      <c r="U4" s="634">
        <f>Macro!U6</f>
        <v>3.5000000000000003E-2</v>
      </c>
      <c r="V4" s="634">
        <f>Macro!V6</f>
        <v>3.5000000000000003E-2</v>
      </c>
      <c r="W4" s="634">
        <f>Macro!W6</f>
        <v>3.5000000000000003E-2</v>
      </c>
      <c r="X4" s="634">
        <f>Macro!X6</f>
        <v>3.5000000000000003E-2</v>
      </c>
      <c r="Y4" s="634">
        <f>Macro!Y6</f>
        <v>3.5000000000000003E-2</v>
      </c>
      <c r="Z4" s="634">
        <f>Macro!Z6</f>
        <v>3.5000000000000003E-2</v>
      </c>
      <c r="AA4" s="634">
        <f>Macro!AA6</f>
        <v>3.5000000000000003E-2</v>
      </c>
      <c r="AB4" s="634">
        <f>Macro!AB6</f>
        <v>3.5000000000000003E-2</v>
      </c>
      <c r="AC4" s="634">
        <f>Macro!AC6</f>
        <v>3.5000000000000003E-2</v>
      </c>
      <c r="AD4" s="634">
        <f>Macro!AD6</f>
        <v>3.5000000000000003E-2</v>
      </c>
      <c r="AE4" s="634">
        <f>Macro!AE6</f>
        <v>3.5000000000000003E-2</v>
      </c>
      <c r="AF4" s="634">
        <f>Macro!AF6</f>
        <v>3.5000000000000003E-2</v>
      </c>
      <c r="AG4" s="634">
        <f>Macro!AG6</f>
        <v>3.5000000000000003E-2</v>
      </c>
      <c r="AH4" s="634">
        <f>Macro!AH6</f>
        <v>3.5000000000000003E-2</v>
      </c>
    </row>
    <row r="5" spans="2:34" s="173" customFormat="1" ht="12.75">
      <c r="B5" s="632" t="s">
        <v>37</v>
      </c>
      <c r="C5" s="632"/>
      <c r="D5" s="632"/>
      <c r="E5" s="635">
        <f>E4+5.49%</f>
        <v>9.290000000000001E-2</v>
      </c>
      <c r="F5" s="635">
        <f t="shared" ref="F5:AH5" si="0">F4+5.49%</f>
        <v>9.0900000000000009E-2</v>
      </c>
      <c r="G5" s="635">
        <f t="shared" si="0"/>
        <v>8.9900000000000008E-2</v>
      </c>
      <c r="H5" s="635">
        <f t="shared" si="0"/>
        <v>8.9900000000000008E-2</v>
      </c>
      <c r="I5" s="635">
        <f t="shared" si="0"/>
        <v>8.9900000000000008E-2</v>
      </c>
      <c r="J5" s="635">
        <f t="shared" si="0"/>
        <v>8.9900000000000008E-2</v>
      </c>
      <c r="K5" s="635">
        <f t="shared" si="0"/>
        <v>8.9900000000000008E-2</v>
      </c>
      <c r="L5" s="635">
        <f t="shared" si="0"/>
        <v>8.9900000000000008E-2</v>
      </c>
      <c r="M5" s="635">
        <f t="shared" si="0"/>
        <v>8.9900000000000008E-2</v>
      </c>
      <c r="N5" s="635">
        <f t="shared" si="0"/>
        <v>8.9900000000000008E-2</v>
      </c>
      <c r="O5" s="635">
        <f t="shared" si="0"/>
        <v>8.9900000000000008E-2</v>
      </c>
      <c r="P5" s="635">
        <f t="shared" si="0"/>
        <v>8.9900000000000008E-2</v>
      </c>
      <c r="Q5" s="635">
        <f t="shared" si="0"/>
        <v>8.9900000000000008E-2</v>
      </c>
      <c r="R5" s="635">
        <f t="shared" si="0"/>
        <v>8.9900000000000008E-2</v>
      </c>
      <c r="S5" s="635">
        <f t="shared" si="0"/>
        <v>8.9900000000000008E-2</v>
      </c>
      <c r="T5" s="635">
        <f t="shared" si="0"/>
        <v>8.9900000000000008E-2</v>
      </c>
      <c r="U5" s="635">
        <f t="shared" si="0"/>
        <v>8.9900000000000008E-2</v>
      </c>
      <c r="V5" s="635">
        <f t="shared" si="0"/>
        <v>8.9900000000000008E-2</v>
      </c>
      <c r="W5" s="635">
        <f t="shared" si="0"/>
        <v>8.9900000000000008E-2</v>
      </c>
      <c r="X5" s="635">
        <f t="shared" si="0"/>
        <v>8.9900000000000008E-2</v>
      </c>
      <c r="Y5" s="635">
        <f t="shared" si="0"/>
        <v>8.9900000000000008E-2</v>
      </c>
      <c r="Z5" s="635">
        <f t="shared" si="0"/>
        <v>8.9900000000000008E-2</v>
      </c>
      <c r="AA5" s="635">
        <f t="shared" si="0"/>
        <v>8.9900000000000008E-2</v>
      </c>
      <c r="AB5" s="635">
        <f t="shared" si="0"/>
        <v>8.9900000000000008E-2</v>
      </c>
      <c r="AC5" s="635">
        <f t="shared" si="0"/>
        <v>8.9900000000000008E-2</v>
      </c>
      <c r="AD5" s="635">
        <f t="shared" si="0"/>
        <v>8.9900000000000008E-2</v>
      </c>
      <c r="AE5" s="635">
        <f t="shared" si="0"/>
        <v>8.9900000000000008E-2</v>
      </c>
      <c r="AF5" s="635">
        <f t="shared" si="0"/>
        <v>8.9900000000000008E-2</v>
      </c>
      <c r="AG5" s="635">
        <f t="shared" si="0"/>
        <v>8.9900000000000008E-2</v>
      </c>
      <c r="AH5" s="635">
        <f t="shared" si="0"/>
        <v>8.9900000000000008E-2</v>
      </c>
    </row>
    <row r="6" spans="2:34" s="173" customFormat="1" ht="12.75">
      <c r="B6" s="632"/>
      <c r="C6" s="632"/>
      <c r="D6" s="632"/>
      <c r="E6" s="636"/>
      <c r="F6" s="636"/>
      <c r="G6" s="636"/>
      <c r="H6" s="636"/>
      <c r="I6" s="636"/>
      <c r="J6" s="636"/>
      <c r="K6" s="636"/>
      <c r="L6" s="636"/>
      <c r="M6" s="636"/>
      <c r="N6" s="636"/>
      <c r="O6" s="636"/>
      <c r="P6" s="636"/>
      <c r="Q6" s="636"/>
      <c r="R6" s="636"/>
      <c r="S6" s="636"/>
      <c r="T6" s="636"/>
      <c r="U6" s="636"/>
      <c r="V6" s="636"/>
      <c r="W6" s="636"/>
      <c r="X6" s="636"/>
      <c r="Y6" s="636"/>
      <c r="Z6" s="636"/>
      <c r="AA6" s="636"/>
      <c r="AB6" s="636"/>
      <c r="AC6" s="636"/>
      <c r="AD6" s="636"/>
      <c r="AE6" s="636"/>
      <c r="AF6" s="632"/>
      <c r="AG6" s="632"/>
      <c r="AH6" s="632"/>
    </row>
    <row r="7" spans="2:34" s="173" customFormat="1" ht="12.75">
      <c r="B7" s="632"/>
      <c r="C7" s="632"/>
      <c r="D7" s="632"/>
      <c r="E7" s="636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6"/>
      <c r="Z7" s="636"/>
      <c r="AA7" s="636"/>
      <c r="AB7" s="636"/>
      <c r="AC7" s="636"/>
      <c r="AD7" s="636"/>
      <c r="AE7" s="636"/>
      <c r="AF7" s="632"/>
      <c r="AG7" s="632"/>
      <c r="AH7" s="632"/>
    </row>
    <row r="8" spans="2:34" s="173" customFormat="1" ht="12.75">
      <c r="B8" s="632"/>
      <c r="C8" s="632"/>
      <c r="D8" s="632"/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6"/>
      <c r="R8" s="636"/>
      <c r="S8" s="636"/>
      <c r="T8" s="636"/>
      <c r="U8" s="636"/>
      <c r="V8" s="636"/>
      <c r="W8" s="636"/>
      <c r="X8" s="636"/>
      <c r="Y8" s="636"/>
      <c r="Z8" s="636"/>
      <c r="AA8" s="636"/>
      <c r="AB8" s="636"/>
      <c r="AC8" s="636"/>
      <c r="AD8" s="636"/>
      <c r="AE8" s="636"/>
      <c r="AF8" s="632"/>
      <c r="AG8" s="632"/>
      <c r="AH8" s="632"/>
    </row>
    <row r="10" spans="2:34" s="182" customFormat="1" ht="13.15" customHeight="1">
      <c r="B10" s="637"/>
      <c r="C10" s="637"/>
      <c r="D10" s="183"/>
      <c r="E10" s="638"/>
      <c r="F10" s="638"/>
      <c r="G10" s="638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638"/>
      <c r="T10" s="638"/>
      <c r="U10" s="638"/>
      <c r="V10" s="638"/>
      <c r="W10" s="638"/>
      <c r="X10" s="638"/>
      <c r="Y10" s="638"/>
      <c r="Z10" s="638"/>
      <c r="AA10" s="638"/>
      <c r="AB10" s="638"/>
      <c r="AC10" s="638"/>
      <c r="AD10" s="638"/>
      <c r="AE10" s="638"/>
      <c r="AF10" s="638"/>
      <c r="AG10" s="638"/>
      <c r="AH10" s="638"/>
    </row>
    <row r="11" spans="2:34" ht="13.15" customHeight="1">
      <c r="B11" s="175" t="s">
        <v>463</v>
      </c>
      <c r="C11" s="639"/>
      <c r="D11" s="640"/>
      <c r="E11" s="640"/>
      <c r="F11" s="640"/>
      <c r="G11" s="640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8"/>
      <c r="S11" s="640"/>
      <c r="T11" s="640"/>
      <c r="U11" s="640"/>
      <c r="V11" s="640"/>
      <c r="W11" s="640"/>
      <c r="X11" s="641"/>
      <c r="Y11" s="641"/>
      <c r="Z11" s="641"/>
      <c r="AA11" s="641"/>
      <c r="AB11" s="641"/>
      <c r="AC11" s="641"/>
      <c r="AD11" s="641"/>
      <c r="AE11" s="641"/>
      <c r="AF11" s="641"/>
      <c r="AG11" s="641"/>
      <c r="AH11" s="641"/>
    </row>
    <row r="12" spans="2:34" ht="13.15" customHeight="1">
      <c r="B12" s="175"/>
      <c r="C12" s="639"/>
      <c r="D12" s="640"/>
      <c r="E12" s="184">
        <v>1</v>
      </c>
      <c r="F12" s="184">
        <v>2</v>
      </c>
      <c r="G12" s="184">
        <v>3</v>
      </c>
      <c r="H12" s="184">
        <v>4</v>
      </c>
      <c r="I12" s="184">
        <v>5</v>
      </c>
      <c r="J12" s="184">
        <v>6</v>
      </c>
      <c r="K12" s="184">
        <v>7</v>
      </c>
      <c r="L12" s="184">
        <v>8</v>
      </c>
      <c r="M12" s="184">
        <v>9</v>
      </c>
      <c r="N12" s="184">
        <v>10</v>
      </c>
      <c r="O12" s="184">
        <v>11</v>
      </c>
      <c r="P12" s="184">
        <v>12</v>
      </c>
      <c r="Q12" s="184">
        <v>13</v>
      </c>
      <c r="R12" s="184">
        <v>14</v>
      </c>
      <c r="S12" s="184">
        <v>15</v>
      </c>
      <c r="T12" s="185"/>
      <c r="U12" s="184"/>
      <c r="V12" s="185"/>
      <c r="W12" s="640"/>
      <c r="X12" s="641"/>
      <c r="Y12" s="641"/>
      <c r="Z12" s="641"/>
      <c r="AA12" s="641"/>
      <c r="AB12" s="641"/>
      <c r="AC12" s="641"/>
      <c r="AD12" s="641"/>
      <c r="AE12" s="641"/>
      <c r="AF12" s="641"/>
      <c r="AG12" s="641"/>
      <c r="AH12" s="641"/>
    </row>
    <row r="13" spans="2:34" ht="13.15" customHeight="1">
      <c r="B13" s="179" t="s">
        <v>123</v>
      </c>
      <c r="C13" s="180" t="s">
        <v>16</v>
      </c>
      <c r="D13" s="640"/>
      <c r="E13" s="206">
        <f>CAPEX!E18*Painel!$Y$6/1000</f>
        <v>0</v>
      </c>
      <c r="F13" s="206">
        <f>CAPEX!F18*Painel!$Y$6/1000</f>
        <v>0</v>
      </c>
      <c r="G13" s="206">
        <f>CAPEX!G18*Painel!$Y$6/1000</f>
        <v>0</v>
      </c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>
        <f>-FCF!AB15*Painel!$Y$6</f>
        <v>0</v>
      </c>
      <c r="AC13" s="206">
        <f>-FCF!AC15*Painel!$Y$6</f>
        <v>0</v>
      </c>
      <c r="AD13" s="206">
        <f>-FCF!AD15*Painel!$Y$6</f>
        <v>0</v>
      </c>
      <c r="AE13" s="206">
        <f>-FCF!AE15*Painel!$Y$6</f>
        <v>0</v>
      </c>
      <c r="AF13" s="206">
        <f>-FCF!AF15*Painel!$Y$6</f>
        <v>0</v>
      </c>
      <c r="AG13" s="206">
        <f>-FCF!AG15*Painel!$Y$6</f>
        <v>0</v>
      </c>
      <c r="AH13" s="206">
        <f>-FCF!AH15*Painel!$Y$6</f>
        <v>0</v>
      </c>
    </row>
    <row r="14" spans="2:34" ht="13.15" customHeight="1">
      <c r="B14" s="179" t="s">
        <v>464</v>
      </c>
      <c r="C14" s="180" t="s">
        <v>16</v>
      </c>
      <c r="D14" s="186"/>
      <c r="E14" s="186"/>
      <c r="F14" s="181">
        <f>-E17*(Painel!$Y$9+F5)</f>
        <v>0</v>
      </c>
      <c r="G14" s="181">
        <f>-F17*(Painel!$Y$9+G5)</f>
        <v>0</v>
      </c>
      <c r="H14" s="181">
        <f>-G17*(Painel!$Y$9+H5)</f>
        <v>0</v>
      </c>
      <c r="I14" s="181">
        <f>-H17*(Painel!$Y$9+I5)</f>
        <v>0</v>
      </c>
      <c r="J14" s="181">
        <f>-I17*(Painel!$Y$9+J5)</f>
        <v>0</v>
      </c>
      <c r="K14" s="181">
        <f>-J17*(Painel!$Y$9+K5)</f>
        <v>0</v>
      </c>
      <c r="L14" s="181">
        <f>-K17*(Painel!$Y$9+L5)</f>
        <v>0</v>
      </c>
      <c r="M14" s="181">
        <f>-L17*(Painel!$Y$9+M5)</f>
        <v>0</v>
      </c>
      <c r="N14" s="181">
        <f>-M17*(Painel!$Y$9+N5)</f>
        <v>0</v>
      </c>
      <c r="O14" s="181">
        <f>-N17*(Painel!$Y$9+O5)</f>
        <v>0</v>
      </c>
      <c r="P14" s="181">
        <f>-O17*(Painel!$Y$9+P5)</f>
        <v>0</v>
      </c>
      <c r="Q14" s="181">
        <f>-P17*(Painel!$Y$9+Q5)</f>
        <v>0</v>
      </c>
      <c r="R14" s="181">
        <f>-Q17*(Painel!$Y$9+R5)</f>
        <v>0</v>
      </c>
      <c r="S14" s="181">
        <f>-R17*(Painel!$Y$9+S5)</f>
        <v>0</v>
      </c>
      <c r="T14" s="186"/>
      <c r="U14" s="186"/>
      <c r="V14" s="186"/>
      <c r="W14" s="640"/>
      <c r="X14" s="641"/>
      <c r="Y14" s="641"/>
      <c r="Z14" s="641"/>
      <c r="AA14" s="641"/>
      <c r="AB14" s="641"/>
      <c r="AC14" s="641"/>
      <c r="AD14" s="641"/>
      <c r="AE14" s="641"/>
      <c r="AF14" s="641"/>
      <c r="AG14" s="641"/>
      <c r="AH14" s="641"/>
    </row>
    <row r="15" spans="2:34" ht="13.15" customHeight="1">
      <c r="B15" s="179" t="s">
        <v>124</v>
      </c>
      <c r="C15" s="180" t="s">
        <v>16</v>
      </c>
      <c r="D15" s="187"/>
      <c r="E15" s="187"/>
      <c r="F15" s="181">
        <f>-$E$13/12</f>
        <v>0</v>
      </c>
      <c r="G15" s="181">
        <f>-$E$13/12-$F$13/12</f>
        <v>0</v>
      </c>
      <c r="H15" s="181">
        <f>-$E$13/12-$F$13/12-$G$13/12</f>
        <v>0</v>
      </c>
      <c r="I15" s="181">
        <f t="shared" ref="I15:Q15" si="1">-$E$13/12-$F$13/12-$G$13/12</f>
        <v>0</v>
      </c>
      <c r="J15" s="181">
        <f t="shared" si="1"/>
        <v>0</v>
      </c>
      <c r="K15" s="181">
        <f t="shared" si="1"/>
        <v>0</v>
      </c>
      <c r="L15" s="181">
        <f t="shared" si="1"/>
        <v>0</v>
      </c>
      <c r="M15" s="181">
        <f t="shared" si="1"/>
        <v>0</v>
      </c>
      <c r="N15" s="181">
        <f t="shared" si="1"/>
        <v>0</v>
      </c>
      <c r="O15" s="181">
        <f t="shared" si="1"/>
        <v>0</v>
      </c>
      <c r="P15" s="181">
        <f t="shared" si="1"/>
        <v>0</v>
      </c>
      <c r="Q15" s="181">
        <f t="shared" si="1"/>
        <v>0</v>
      </c>
      <c r="R15" s="181">
        <f>-$F$13/12-$G$13/12</f>
        <v>0</v>
      </c>
      <c r="S15" s="181">
        <f>-$G$13/12</f>
        <v>0</v>
      </c>
      <c r="T15" s="187"/>
      <c r="U15" s="187"/>
      <c r="V15" s="187"/>
      <c r="W15" s="640"/>
      <c r="X15" s="641"/>
      <c r="Y15" s="641"/>
      <c r="Z15" s="641"/>
      <c r="AA15" s="641"/>
      <c r="AB15" s="641"/>
      <c r="AC15" s="641"/>
      <c r="AD15" s="641"/>
      <c r="AE15" s="641"/>
      <c r="AF15" s="641"/>
      <c r="AG15" s="641"/>
      <c r="AH15" s="641"/>
    </row>
    <row r="16" spans="2:34" ht="13.15" customHeight="1">
      <c r="B16" s="179" t="s">
        <v>465</v>
      </c>
      <c r="C16" s="180" t="s">
        <v>16</v>
      </c>
      <c r="D16" s="642"/>
      <c r="E16" s="642"/>
      <c r="F16" s="181">
        <f>SUM(F14:F15)</f>
        <v>0</v>
      </c>
      <c r="G16" s="181">
        <f t="shared" ref="G16:R16" si="2">SUM(G14:G15)</f>
        <v>0</v>
      </c>
      <c r="H16" s="181">
        <f t="shared" si="2"/>
        <v>0</v>
      </c>
      <c r="I16" s="181">
        <f t="shared" si="2"/>
        <v>0</v>
      </c>
      <c r="J16" s="181">
        <f t="shared" si="2"/>
        <v>0</v>
      </c>
      <c r="K16" s="181">
        <f t="shared" si="2"/>
        <v>0</v>
      </c>
      <c r="L16" s="181">
        <f t="shared" si="2"/>
        <v>0</v>
      </c>
      <c r="M16" s="181">
        <f t="shared" si="2"/>
        <v>0</v>
      </c>
      <c r="N16" s="181">
        <f t="shared" si="2"/>
        <v>0</v>
      </c>
      <c r="O16" s="181">
        <f t="shared" si="2"/>
        <v>0</v>
      </c>
      <c r="P16" s="181">
        <f t="shared" si="2"/>
        <v>0</v>
      </c>
      <c r="Q16" s="181">
        <f t="shared" si="2"/>
        <v>0</v>
      </c>
      <c r="R16" s="181">
        <f t="shared" si="2"/>
        <v>0</v>
      </c>
      <c r="S16" s="181">
        <f>SUM(S14:S15)</f>
        <v>0</v>
      </c>
      <c r="T16" s="642"/>
      <c r="U16" s="642"/>
      <c r="V16" s="642"/>
      <c r="W16" s="642"/>
      <c r="X16" s="642"/>
      <c r="Y16" s="642"/>
      <c r="Z16" s="642"/>
      <c r="AA16" s="642"/>
      <c r="AB16" s="642"/>
      <c r="AC16" s="642"/>
      <c r="AD16" s="642"/>
      <c r="AE16" s="642"/>
      <c r="AF16" s="642"/>
      <c r="AG16" s="642"/>
      <c r="AH16" s="642"/>
    </row>
    <row r="17" spans="2:19" ht="13.15" customHeight="1">
      <c r="B17" s="179" t="s">
        <v>466</v>
      </c>
      <c r="C17" s="180" t="s">
        <v>16</v>
      </c>
      <c r="D17" s="643"/>
      <c r="E17" s="181">
        <f>D17+E15+E13</f>
        <v>0</v>
      </c>
      <c r="F17" s="181">
        <f>E17+F15+F13</f>
        <v>0</v>
      </c>
      <c r="G17" s="181">
        <f>F17+G15+G13</f>
        <v>0</v>
      </c>
      <c r="H17" s="181">
        <f t="shared" ref="H17:R17" si="3">G17+H15+H13</f>
        <v>0</v>
      </c>
      <c r="I17" s="181">
        <f t="shared" si="3"/>
        <v>0</v>
      </c>
      <c r="J17" s="181">
        <f t="shared" si="3"/>
        <v>0</v>
      </c>
      <c r="K17" s="181">
        <f t="shared" si="3"/>
        <v>0</v>
      </c>
      <c r="L17" s="181">
        <f t="shared" si="3"/>
        <v>0</v>
      </c>
      <c r="M17" s="181">
        <f t="shared" si="3"/>
        <v>0</v>
      </c>
      <c r="N17" s="181">
        <f t="shared" si="3"/>
        <v>0</v>
      </c>
      <c r="O17" s="181">
        <f t="shared" si="3"/>
        <v>0</v>
      </c>
      <c r="P17" s="181">
        <f t="shared" si="3"/>
        <v>0</v>
      </c>
      <c r="Q17" s="181">
        <f t="shared" si="3"/>
        <v>0</v>
      </c>
      <c r="R17" s="181">
        <f t="shared" si="3"/>
        <v>0</v>
      </c>
      <c r="S17" s="181">
        <f>R17+S15+S13</f>
        <v>0</v>
      </c>
    </row>
    <row r="21" spans="2:19" ht="13.15" customHeight="1">
      <c r="B21" s="644" t="s">
        <v>467</v>
      </c>
      <c r="C21" s="644"/>
      <c r="D21" s="644"/>
      <c r="E21" s="645"/>
      <c r="F21" s="645" t="e">
        <f>DRE!F32/-(+F13+F14+F15)</f>
        <v>#DIV/0!</v>
      </c>
      <c r="G21" s="645" t="e">
        <f>DRE!G32/-(+G13+G14+G15)</f>
        <v>#DIV/0!</v>
      </c>
      <c r="H21" s="645" t="e">
        <f>DRE!H32/-(+H13+H14+H15)</f>
        <v>#DIV/0!</v>
      </c>
      <c r="I21" s="645" t="e">
        <f>DRE!I32/-(+I13+I14+I15)</f>
        <v>#DIV/0!</v>
      </c>
      <c r="J21" s="645" t="e">
        <f>DRE!J32/-(+J13+J14+J15)</f>
        <v>#DIV/0!</v>
      </c>
      <c r="K21" s="645" t="e">
        <f>DRE!K32/-(+K13+K14+K15)</f>
        <v>#DIV/0!</v>
      </c>
      <c r="L21" s="645" t="e">
        <f>DRE!L32/-(+L13+L14+L15)</f>
        <v>#DIV/0!</v>
      </c>
      <c r="M21" s="645" t="e">
        <f>DRE!M32/-(+M13+M14+M15)</f>
        <v>#DIV/0!</v>
      </c>
      <c r="N21" s="645" t="e">
        <f>DRE!N32/-(+N13+N14+N15)</f>
        <v>#DIV/0!</v>
      </c>
      <c r="O21" s="645" t="e">
        <f>DRE!O32/-(+O13+O14+O15)</f>
        <v>#DIV/0!</v>
      </c>
      <c r="P21" s="645" t="e">
        <f>DRE!P32/-(+P13+P14+P15)</f>
        <v>#DIV/0!</v>
      </c>
      <c r="Q21" s="645" t="e">
        <f>DRE!Q32/-(+Q13+Q14+Q15)</f>
        <v>#DIV/0!</v>
      </c>
      <c r="R21" s="645" t="e">
        <f>DRE!R32/-(+R13+R14+R15)</f>
        <v>#DIV/0!</v>
      </c>
      <c r="S21" s="641"/>
    </row>
  </sheetData>
  <sheetProtection password="C643" sheet="1" objects="1" scenarios="1"/>
  <pageMargins left="0.75" right="0.75" top="1" bottom="1" header="0.5" footer="0.5"/>
  <pageSetup paperSize="9" orientation="portrait" horizontalDpi="4294967292" verticalDpi="429496729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N19"/>
  <sheetViews>
    <sheetView workbookViewId="0">
      <pane ySplit="3" topLeftCell="A4" activePane="bottomLeft" state="frozen"/>
      <selection pane="bottomLeft" activeCell="G68" sqref="G68"/>
      <selection activeCell="G68" sqref="G68"/>
    </sheetView>
  </sheetViews>
  <sheetFormatPr defaultColWidth="14.42578125" defaultRowHeight="15" customHeight="1"/>
  <cols>
    <col min="1" max="1" width="35.42578125" customWidth="1"/>
    <col min="2" max="3" width="2.28515625" customWidth="1"/>
    <col min="4" max="40" width="9.28515625" customWidth="1"/>
  </cols>
  <sheetData>
    <row r="1" spans="1:40" s="148" customFormat="1" ht="14.25" customHeight="1">
      <c r="A1" s="146" t="s">
        <v>468</v>
      </c>
      <c r="B1" s="147"/>
      <c r="C1" s="147"/>
      <c r="D1" s="146"/>
      <c r="E1" s="146">
        <f>DRE!E1</f>
        <v>2025</v>
      </c>
      <c r="F1" s="146">
        <f>DRE!F1</f>
        <v>2026</v>
      </c>
      <c r="G1" s="146">
        <f>DRE!G1</f>
        <v>2027</v>
      </c>
      <c r="H1" s="146">
        <f>DRE!H1</f>
        <v>2028</v>
      </c>
      <c r="I1" s="146">
        <f>DRE!I1</f>
        <v>2029</v>
      </c>
      <c r="J1" s="146">
        <f>DRE!J1</f>
        <v>2030</v>
      </c>
      <c r="K1" s="146">
        <f>DRE!K1</f>
        <v>2031</v>
      </c>
      <c r="L1" s="146">
        <f>DRE!L1</f>
        <v>2032</v>
      </c>
      <c r="M1" s="146">
        <f>DRE!M1</f>
        <v>2033</v>
      </c>
      <c r="N1" s="146">
        <f>DRE!N1</f>
        <v>2034</v>
      </c>
      <c r="O1" s="146">
        <f>DRE!O1</f>
        <v>2035</v>
      </c>
      <c r="P1" s="146">
        <f>DRE!P1</f>
        <v>2036</v>
      </c>
      <c r="Q1" s="146">
        <f>DRE!Q1</f>
        <v>2037</v>
      </c>
      <c r="R1" s="146">
        <f>DRE!R1</f>
        <v>2038</v>
      </c>
      <c r="S1" s="146">
        <f>DRE!S1</f>
        <v>2039</v>
      </c>
      <c r="T1" s="146">
        <f>DRE!T1</f>
        <v>2040</v>
      </c>
      <c r="U1" s="146">
        <f>DRE!U1</f>
        <v>2041</v>
      </c>
      <c r="V1" s="146">
        <f>DRE!V1</f>
        <v>2042</v>
      </c>
      <c r="W1" s="146">
        <f>DRE!W1</f>
        <v>2043</v>
      </c>
      <c r="X1" s="146">
        <f>DRE!X1</f>
        <v>2044</v>
      </c>
      <c r="Y1" s="146">
        <f>DRE!Y1</f>
        <v>2045</v>
      </c>
      <c r="Z1" s="146">
        <f>DRE!Z1</f>
        <v>2046</v>
      </c>
      <c r="AA1" s="146">
        <f>DRE!AA1</f>
        <v>2047</v>
      </c>
      <c r="AB1" s="146">
        <f>DRE!AB1</f>
        <v>2048</v>
      </c>
      <c r="AC1" s="146">
        <f>DRE!AC1</f>
        <v>2049</v>
      </c>
      <c r="AD1" s="146">
        <f>DRE!AD1</f>
        <v>2050</v>
      </c>
      <c r="AE1" s="146">
        <f>DRE!AE1</f>
        <v>2051</v>
      </c>
      <c r="AF1" s="146">
        <f>DRE!AF1</f>
        <v>2052</v>
      </c>
      <c r="AG1" s="146">
        <f>DRE!AG1</f>
        <v>2053</v>
      </c>
      <c r="AH1" s="146">
        <f>DRE!AH1</f>
        <v>2054</v>
      </c>
      <c r="AI1" s="146">
        <f>DRE!AI1</f>
        <v>2055</v>
      </c>
      <c r="AJ1" s="146">
        <f>DRE!AJ1</f>
        <v>2056</v>
      </c>
      <c r="AK1" s="146">
        <f>DRE!AK1</f>
        <v>2057</v>
      </c>
      <c r="AL1" s="146">
        <f>DRE!AL1</f>
        <v>2058</v>
      </c>
      <c r="AM1" s="146">
        <f>DRE!AM1</f>
        <v>2059</v>
      </c>
      <c r="AN1" s="146">
        <f>DRE!AN1</f>
        <v>2060</v>
      </c>
    </row>
    <row r="2" spans="1:40" s="163" customFormat="1" ht="14.25" customHeight="1">
      <c r="A2" s="153" t="s">
        <v>107</v>
      </c>
      <c r="B2" s="153"/>
      <c r="C2" s="153"/>
      <c r="D2" s="646"/>
      <c r="E2" s="153">
        <f>DRE!E2</f>
        <v>1</v>
      </c>
      <c r="F2" s="153">
        <f>DRE!F2</f>
        <v>2</v>
      </c>
      <c r="G2" s="153">
        <f>DRE!G2</f>
        <v>3</v>
      </c>
      <c r="H2" s="153">
        <f>DRE!H2</f>
        <v>4</v>
      </c>
      <c r="I2" s="153">
        <f>DRE!I2</f>
        <v>5</v>
      </c>
      <c r="J2" s="153">
        <f>DRE!J2</f>
        <v>6</v>
      </c>
      <c r="K2" s="153">
        <f>DRE!K2</f>
        <v>7</v>
      </c>
      <c r="L2" s="153">
        <f>DRE!L2</f>
        <v>8</v>
      </c>
      <c r="M2" s="153">
        <f>DRE!M2</f>
        <v>9</v>
      </c>
      <c r="N2" s="153">
        <f>DRE!N2</f>
        <v>10</v>
      </c>
      <c r="O2" s="153">
        <f>DRE!O2</f>
        <v>11</v>
      </c>
      <c r="P2" s="153">
        <f>DRE!P2</f>
        <v>12</v>
      </c>
      <c r="Q2" s="153">
        <f>DRE!Q2</f>
        <v>13</v>
      </c>
      <c r="R2" s="153">
        <f>DRE!R2</f>
        <v>14</v>
      </c>
      <c r="S2" s="153">
        <f>DRE!S2</f>
        <v>15</v>
      </c>
      <c r="T2" s="153">
        <f>DRE!T2</f>
        <v>16</v>
      </c>
      <c r="U2" s="153">
        <f>DRE!U2</f>
        <v>17</v>
      </c>
      <c r="V2" s="153">
        <f>DRE!V2</f>
        <v>18</v>
      </c>
      <c r="W2" s="153">
        <f>DRE!W2</f>
        <v>19</v>
      </c>
      <c r="X2" s="153">
        <f>DRE!X2</f>
        <v>20</v>
      </c>
      <c r="Y2" s="153">
        <f>DRE!Y2</f>
        <v>21</v>
      </c>
      <c r="Z2" s="153">
        <f>DRE!Z2</f>
        <v>22</v>
      </c>
      <c r="AA2" s="153">
        <f>DRE!AA2</f>
        <v>23</v>
      </c>
      <c r="AB2" s="153">
        <f>DRE!AB2</f>
        <v>24</v>
      </c>
      <c r="AC2" s="153">
        <f>DRE!AC2</f>
        <v>25</v>
      </c>
      <c r="AD2" s="153">
        <f>DRE!AD2</f>
        <v>26</v>
      </c>
      <c r="AE2" s="153">
        <f>DRE!AE2</f>
        <v>27</v>
      </c>
      <c r="AF2" s="153">
        <f>DRE!AF2</f>
        <v>28</v>
      </c>
      <c r="AG2" s="153">
        <f>DRE!AG2</f>
        <v>29</v>
      </c>
      <c r="AH2" s="153">
        <f>DRE!AH2</f>
        <v>30</v>
      </c>
      <c r="AI2" s="153">
        <f>DRE!AI2</f>
        <v>31</v>
      </c>
      <c r="AJ2" s="153">
        <f>DRE!AJ2</f>
        <v>32</v>
      </c>
      <c r="AK2" s="153">
        <f>DRE!AK2</f>
        <v>33</v>
      </c>
      <c r="AL2" s="153">
        <f>DRE!AL2</f>
        <v>34</v>
      </c>
      <c r="AM2" s="153">
        <f>DRE!AM2</f>
        <v>35</v>
      </c>
      <c r="AN2" s="153">
        <f>DRE!AN2</f>
        <v>36</v>
      </c>
    </row>
    <row r="3" spans="1:40" s="163" customFormat="1" ht="14.25" customHeight="1">
      <c r="A3" s="153" t="s">
        <v>108</v>
      </c>
      <c r="B3" s="153"/>
      <c r="C3" s="153"/>
      <c r="D3" s="646"/>
      <c r="E3" s="155">
        <f>DRE!E3</f>
        <v>1</v>
      </c>
      <c r="F3" s="155">
        <f>DRE!F3</f>
        <v>1</v>
      </c>
      <c r="G3" s="155">
        <f>DRE!G3</f>
        <v>1</v>
      </c>
      <c r="H3" s="155">
        <f>DRE!H3</f>
        <v>1</v>
      </c>
      <c r="I3" s="155">
        <f>DRE!I3</f>
        <v>1</v>
      </c>
      <c r="J3" s="155">
        <f>DRE!J3</f>
        <v>1</v>
      </c>
      <c r="K3" s="155">
        <f>DRE!K3</f>
        <v>1</v>
      </c>
      <c r="L3" s="155">
        <f>DRE!L3</f>
        <v>1</v>
      </c>
      <c r="M3" s="155">
        <f>DRE!M3</f>
        <v>1</v>
      </c>
      <c r="N3" s="155">
        <f>DRE!N3</f>
        <v>1</v>
      </c>
      <c r="O3" s="155">
        <f>DRE!O3</f>
        <v>1</v>
      </c>
      <c r="P3" s="155">
        <f>DRE!P3</f>
        <v>1</v>
      </c>
      <c r="Q3" s="155">
        <f>DRE!Q3</f>
        <v>1</v>
      </c>
      <c r="R3" s="155">
        <f>DRE!R3</f>
        <v>1</v>
      </c>
      <c r="S3" s="155">
        <f>DRE!S3</f>
        <v>1</v>
      </c>
      <c r="T3" s="155">
        <f>DRE!T3</f>
        <v>1</v>
      </c>
      <c r="U3" s="155">
        <f>DRE!U3</f>
        <v>1</v>
      </c>
      <c r="V3" s="155">
        <f>DRE!V3</f>
        <v>1</v>
      </c>
      <c r="W3" s="155">
        <f>DRE!W3</f>
        <v>1</v>
      </c>
      <c r="X3" s="155">
        <f>DRE!X3</f>
        <v>1</v>
      </c>
      <c r="Y3" s="155">
        <f>DRE!Y3</f>
        <v>1</v>
      </c>
      <c r="Z3" s="155">
        <f>DRE!Z3</f>
        <v>1</v>
      </c>
      <c r="AA3" s="155">
        <f>DRE!AA3</f>
        <v>1</v>
      </c>
      <c r="AB3" s="155">
        <f>DRE!AB3</f>
        <v>1</v>
      </c>
      <c r="AC3" s="155">
        <f>DRE!AC3</f>
        <v>1</v>
      </c>
      <c r="AD3" s="155">
        <f>DRE!AD3</f>
        <v>1</v>
      </c>
      <c r="AE3" s="155">
        <f>DRE!AE3</f>
        <v>1</v>
      </c>
      <c r="AF3" s="155">
        <f>DRE!AF3</f>
        <v>1</v>
      </c>
      <c r="AG3" s="155">
        <f>DRE!AG3</f>
        <v>1</v>
      </c>
      <c r="AH3" s="155">
        <f>DRE!AH3</f>
        <v>1</v>
      </c>
      <c r="AI3" s="155">
        <f>DRE!AI3</f>
        <v>0</v>
      </c>
      <c r="AJ3" s="155">
        <f>DRE!AJ3</f>
        <v>0</v>
      </c>
      <c r="AK3" s="155">
        <f>DRE!AK3</f>
        <v>0</v>
      </c>
      <c r="AL3" s="155">
        <f>DRE!AL3</f>
        <v>0</v>
      </c>
      <c r="AM3" s="155">
        <f>DRE!AM3</f>
        <v>0</v>
      </c>
      <c r="AN3" s="155">
        <f>DRE!AN3</f>
        <v>0</v>
      </c>
    </row>
    <row r="4" spans="1:40" ht="14.25" customHeight="1">
      <c r="A4" s="56"/>
      <c r="B4" s="58"/>
      <c r="C4" s="58"/>
      <c r="D4" s="72"/>
      <c r="E4" s="56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</row>
    <row r="5" spans="1:40" ht="14.25" customHeight="1">
      <c r="A5" s="74" t="s">
        <v>469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</row>
    <row r="6" spans="1:40" ht="14.25" customHeight="1">
      <c r="A6" s="134" t="s">
        <v>462</v>
      </c>
      <c r="B6" s="133"/>
      <c r="C6" s="133"/>
      <c r="D6" s="135"/>
      <c r="E6" s="136">
        <v>3.7999999999999999E-2</v>
      </c>
      <c r="F6" s="136">
        <v>3.5999999999999997E-2</v>
      </c>
      <c r="G6" s="136">
        <v>3.5000000000000003E-2</v>
      </c>
      <c r="H6" s="136">
        <f t="shared" ref="H6:AN6" si="0">G6</f>
        <v>3.5000000000000003E-2</v>
      </c>
      <c r="I6" s="136">
        <f t="shared" si="0"/>
        <v>3.5000000000000003E-2</v>
      </c>
      <c r="J6" s="136">
        <f t="shared" si="0"/>
        <v>3.5000000000000003E-2</v>
      </c>
      <c r="K6" s="136">
        <f t="shared" si="0"/>
        <v>3.5000000000000003E-2</v>
      </c>
      <c r="L6" s="136">
        <f t="shared" si="0"/>
        <v>3.5000000000000003E-2</v>
      </c>
      <c r="M6" s="136">
        <f t="shared" si="0"/>
        <v>3.5000000000000003E-2</v>
      </c>
      <c r="N6" s="136">
        <f t="shared" si="0"/>
        <v>3.5000000000000003E-2</v>
      </c>
      <c r="O6" s="136">
        <f t="shared" si="0"/>
        <v>3.5000000000000003E-2</v>
      </c>
      <c r="P6" s="136">
        <f t="shared" si="0"/>
        <v>3.5000000000000003E-2</v>
      </c>
      <c r="Q6" s="136">
        <f t="shared" si="0"/>
        <v>3.5000000000000003E-2</v>
      </c>
      <c r="R6" s="136">
        <f t="shared" si="0"/>
        <v>3.5000000000000003E-2</v>
      </c>
      <c r="S6" s="136">
        <f t="shared" si="0"/>
        <v>3.5000000000000003E-2</v>
      </c>
      <c r="T6" s="136">
        <f t="shared" si="0"/>
        <v>3.5000000000000003E-2</v>
      </c>
      <c r="U6" s="136">
        <f t="shared" si="0"/>
        <v>3.5000000000000003E-2</v>
      </c>
      <c r="V6" s="136">
        <f t="shared" si="0"/>
        <v>3.5000000000000003E-2</v>
      </c>
      <c r="W6" s="136">
        <f t="shared" si="0"/>
        <v>3.5000000000000003E-2</v>
      </c>
      <c r="X6" s="136">
        <f t="shared" si="0"/>
        <v>3.5000000000000003E-2</v>
      </c>
      <c r="Y6" s="136">
        <f t="shared" si="0"/>
        <v>3.5000000000000003E-2</v>
      </c>
      <c r="Z6" s="136">
        <f t="shared" si="0"/>
        <v>3.5000000000000003E-2</v>
      </c>
      <c r="AA6" s="136">
        <f t="shared" si="0"/>
        <v>3.5000000000000003E-2</v>
      </c>
      <c r="AB6" s="136">
        <f t="shared" si="0"/>
        <v>3.5000000000000003E-2</v>
      </c>
      <c r="AC6" s="136">
        <f t="shared" si="0"/>
        <v>3.5000000000000003E-2</v>
      </c>
      <c r="AD6" s="136">
        <f t="shared" si="0"/>
        <v>3.5000000000000003E-2</v>
      </c>
      <c r="AE6" s="136">
        <f t="shared" si="0"/>
        <v>3.5000000000000003E-2</v>
      </c>
      <c r="AF6" s="136">
        <f t="shared" si="0"/>
        <v>3.5000000000000003E-2</v>
      </c>
      <c r="AG6" s="136">
        <f t="shared" si="0"/>
        <v>3.5000000000000003E-2</v>
      </c>
      <c r="AH6" s="136">
        <f t="shared" si="0"/>
        <v>3.5000000000000003E-2</v>
      </c>
      <c r="AI6" s="136">
        <f t="shared" si="0"/>
        <v>3.5000000000000003E-2</v>
      </c>
      <c r="AJ6" s="136">
        <f t="shared" si="0"/>
        <v>3.5000000000000003E-2</v>
      </c>
      <c r="AK6" s="136">
        <f t="shared" si="0"/>
        <v>3.5000000000000003E-2</v>
      </c>
      <c r="AL6" s="136">
        <f t="shared" si="0"/>
        <v>3.5000000000000003E-2</v>
      </c>
      <c r="AM6" s="136">
        <f t="shared" si="0"/>
        <v>3.5000000000000003E-2</v>
      </c>
      <c r="AN6" s="136">
        <f t="shared" si="0"/>
        <v>3.5000000000000003E-2</v>
      </c>
    </row>
    <row r="7" spans="1:40" ht="14.25" customHeight="1">
      <c r="A7" s="134" t="s">
        <v>470</v>
      </c>
      <c r="B7" s="133"/>
      <c r="C7" s="133"/>
      <c r="D7" s="135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</row>
    <row r="8" spans="1:40" ht="14.25" customHeight="1">
      <c r="A8" s="134" t="s">
        <v>471</v>
      </c>
      <c r="B8" s="133"/>
      <c r="C8" s="133"/>
      <c r="D8" s="135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</row>
    <row r="9" spans="1:40" ht="14.25" customHeight="1">
      <c r="A9" s="134" t="s">
        <v>472</v>
      </c>
      <c r="B9" s="133"/>
      <c r="C9" s="133"/>
      <c r="D9" s="135"/>
      <c r="E9" s="136">
        <v>0.10390000000000001</v>
      </c>
      <c r="F9" s="136">
        <v>0.10390000000000001</v>
      </c>
      <c r="G9" s="136">
        <v>9.64E-2</v>
      </c>
      <c r="H9" s="136">
        <v>9.1399999999999995E-2</v>
      </c>
      <c r="I9" s="136">
        <v>9.1399999999999995E-2</v>
      </c>
      <c r="J9" s="136">
        <v>9.1399999999999995E-2</v>
      </c>
      <c r="K9" s="136">
        <v>9.1399999999999995E-2</v>
      </c>
      <c r="L9" s="136">
        <v>9.1399999999999995E-2</v>
      </c>
      <c r="M9" s="136">
        <v>9.1399999999999995E-2</v>
      </c>
      <c r="N9" s="136">
        <v>9.1399999999999995E-2</v>
      </c>
      <c r="O9" s="136">
        <v>9.1399999999999995E-2</v>
      </c>
      <c r="P9" s="136">
        <v>9.1399999999999995E-2</v>
      </c>
      <c r="Q9" s="136">
        <v>9.1399999999999995E-2</v>
      </c>
      <c r="R9" s="136">
        <v>9.1399999999999995E-2</v>
      </c>
      <c r="S9" s="136">
        <v>9.1399999999999995E-2</v>
      </c>
      <c r="T9" s="136">
        <v>9.1399999999999995E-2</v>
      </c>
      <c r="U9" s="136">
        <v>9.1399999999999995E-2</v>
      </c>
      <c r="V9" s="136">
        <v>9.1399999999999995E-2</v>
      </c>
      <c r="W9" s="136">
        <v>9.1399999999999995E-2</v>
      </c>
      <c r="X9" s="136">
        <v>9.1399999999999995E-2</v>
      </c>
      <c r="Y9" s="136">
        <v>9.1399999999999995E-2</v>
      </c>
      <c r="Z9" s="136">
        <v>9.1399999999999995E-2</v>
      </c>
      <c r="AA9" s="136">
        <v>9.1399999999999995E-2</v>
      </c>
      <c r="AB9" s="136">
        <v>9.1399999999999995E-2</v>
      </c>
      <c r="AC9" s="136">
        <v>9.1399999999999995E-2</v>
      </c>
      <c r="AD9" s="136">
        <v>9.1399999999999995E-2</v>
      </c>
      <c r="AE9" s="136">
        <v>9.1399999999999995E-2</v>
      </c>
      <c r="AF9" s="136">
        <v>9.1399999999999995E-2</v>
      </c>
      <c r="AG9" s="136">
        <v>9.1399999999999995E-2</v>
      </c>
      <c r="AH9" s="136">
        <v>9.1399999999999995E-2</v>
      </c>
      <c r="AI9" s="136">
        <v>9.1399999999999995E-2</v>
      </c>
      <c r="AJ9" s="136">
        <v>9.1399999999999995E-2</v>
      </c>
      <c r="AK9" s="136">
        <v>9.1399999999999995E-2</v>
      </c>
      <c r="AL9" s="136">
        <v>9.1399999999999995E-2</v>
      </c>
      <c r="AM9" s="136">
        <v>9.1399999999999995E-2</v>
      </c>
      <c r="AN9" s="136">
        <v>9.1399999999999995E-2</v>
      </c>
    </row>
    <row r="10" spans="1:40" ht="14.25" customHeight="1">
      <c r="A10" s="134" t="s">
        <v>473</v>
      </c>
      <c r="B10" s="133"/>
      <c r="C10" s="133"/>
      <c r="D10" s="135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</row>
    <row r="11" spans="1:40" ht="14.25" customHeight="1">
      <c r="A11" s="134" t="s">
        <v>474</v>
      </c>
      <c r="B11" s="133"/>
      <c r="C11" s="133"/>
      <c r="D11" s="137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</row>
    <row r="12" spans="1:40" ht="14.25" customHeight="1">
      <c r="A12" s="133"/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</row>
    <row r="13" spans="1:40" ht="14.25" customHeight="1">
      <c r="A13" s="74" t="s">
        <v>475</v>
      </c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</row>
    <row r="14" spans="1:40" ht="14.25" customHeight="1">
      <c r="A14" s="134" t="s">
        <v>462</v>
      </c>
      <c r="B14" s="133"/>
      <c r="C14" s="133"/>
      <c r="D14" s="80">
        <v>1</v>
      </c>
      <c r="E14" s="135">
        <f t="shared" ref="E14:AN14" si="1">D14*(1+E6)</f>
        <v>1.038</v>
      </c>
      <c r="F14" s="135">
        <f t="shared" si="1"/>
        <v>1.0753680000000001</v>
      </c>
      <c r="G14" s="135">
        <f t="shared" si="1"/>
        <v>1.11300588</v>
      </c>
      <c r="H14" s="135">
        <f t="shared" si="1"/>
        <v>1.1519610858</v>
      </c>
      <c r="I14" s="135">
        <f t="shared" si="1"/>
        <v>1.1922797238029998</v>
      </c>
      <c r="J14" s="135">
        <f t="shared" si="1"/>
        <v>1.2340095141361047</v>
      </c>
      <c r="K14" s="135">
        <f t="shared" si="1"/>
        <v>1.2771998471308683</v>
      </c>
      <c r="L14" s="135">
        <f t="shared" si="1"/>
        <v>1.3219018417804487</v>
      </c>
      <c r="M14" s="135">
        <f t="shared" si="1"/>
        <v>1.3681684062427644</v>
      </c>
      <c r="N14" s="135">
        <f t="shared" si="1"/>
        <v>1.4160543004612609</v>
      </c>
      <c r="O14" s="135">
        <f t="shared" si="1"/>
        <v>1.465616200977405</v>
      </c>
      <c r="P14" s="135">
        <f t="shared" si="1"/>
        <v>1.5169127680116141</v>
      </c>
      <c r="Q14" s="135">
        <f t="shared" si="1"/>
        <v>1.5700047148920204</v>
      </c>
      <c r="R14" s="135">
        <f t="shared" si="1"/>
        <v>1.6249548799132409</v>
      </c>
      <c r="S14" s="135">
        <f t="shared" si="1"/>
        <v>1.6818283007102042</v>
      </c>
      <c r="T14" s="135">
        <f t="shared" si="1"/>
        <v>1.7406922912350611</v>
      </c>
      <c r="U14" s="135">
        <f t="shared" si="1"/>
        <v>1.801616521428288</v>
      </c>
      <c r="V14" s="135">
        <f t="shared" si="1"/>
        <v>1.8646730996782779</v>
      </c>
      <c r="W14" s="135">
        <f t="shared" si="1"/>
        <v>1.9299366581670174</v>
      </c>
      <c r="X14" s="135">
        <f t="shared" si="1"/>
        <v>1.9974844412028629</v>
      </c>
      <c r="Y14" s="135">
        <f t="shared" si="1"/>
        <v>2.0673963966449631</v>
      </c>
      <c r="Z14" s="135">
        <f t="shared" si="1"/>
        <v>2.1397552705275364</v>
      </c>
      <c r="AA14" s="135">
        <f t="shared" si="1"/>
        <v>2.2146467049959999</v>
      </c>
      <c r="AB14" s="135">
        <f t="shared" si="1"/>
        <v>2.2921593396708597</v>
      </c>
      <c r="AC14" s="135">
        <f t="shared" si="1"/>
        <v>2.3723849165593398</v>
      </c>
      <c r="AD14" s="135">
        <f t="shared" si="1"/>
        <v>2.4554183886389165</v>
      </c>
      <c r="AE14" s="135">
        <f t="shared" si="1"/>
        <v>2.5413580322412783</v>
      </c>
      <c r="AF14" s="135">
        <f t="shared" si="1"/>
        <v>2.6303055633697228</v>
      </c>
      <c r="AG14" s="135">
        <f t="shared" si="1"/>
        <v>2.7223662580876629</v>
      </c>
      <c r="AH14" s="135">
        <f t="shared" si="1"/>
        <v>2.817649077120731</v>
      </c>
      <c r="AI14" s="135">
        <f t="shared" si="1"/>
        <v>2.9162667948199563</v>
      </c>
      <c r="AJ14" s="135">
        <f t="shared" si="1"/>
        <v>3.0183361326386544</v>
      </c>
      <c r="AK14" s="135">
        <f t="shared" si="1"/>
        <v>3.1239778972810073</v>
      </c>
      <c r="AL14" s="135">
        <f t="shared" si="1"/>
        <v>3.2333171236858425</v>
      </c>
      <c r="AM14" s="135">
        <f t="shared" si="1"/>
        <v>3.3464832230148467</v>
      </c>
      <c r="AN14" s="135">
        <f t="shared" si="1"/>
        <v>3.4636101358203661</v>
      </c>
    </row>
    <row r="15" spans="1:40" ht="14.25" customHeight="1">
      <c r="A15" s="134" t="s">
        <v>470</v>
      </c>
      <c r="B15" s="133"/>
      <c r="C15" s="133"/>
      <c r="D15" s="80">
        <v>1</v>
      </c>
      <c r="E15" s="135">
        <f t="shared" ref="E15:AN15" si="2">D15*(1+E7)</f>
        <v>1</v>
      </c>
      <c r="F15" s="135">
        <f t="shared" si="2"/>
        <v>1</v>
      </c>
      <c r="G15" s="135">
        <f t="shared" si="2"/>
        <v>1</v>
      </c>
      <c r="H15" s="135">
        <f t="shared" si="2"/>
        <v>1</v>
      </c>
      <c r="I15" s="135">
        <f t="shared" si="2"/>
        <v>1</v>
      </c>
      <c r="J15" s="135">
        <f t="shared" si="2"/>
        <v>1</v>
      </c>
      <c r="K15" s="135">
        <f t="shared" si="2"/>
        <v>1</v>
      </c>
      <c r="L15" s="135">
        <f t="shared" si="2"/>
        <v>1</v>
      </c>
      <c r="M15" s="135">
        <f t="shared" si="2"/>
        <v>1</v>
      </c>
      <c r="N15" s="135">
        <f t="shared" si="2"/>
        <v>1</v>
      </c>
      <c r="O15" s="135">
        <f t="shared" si="2"/>
        <v>1</v>
      </c>
      <c r="P15" s="135">
        <f t="shared" si="2"/>
        <v>1</v>
      </c>
      <c r="Q15" s="135">
        <f t="shared" si="2"/>
        <v>1</v>
      </c>
      <c r="R15" s="135">
        <f t="shared" si="2"/>
        <v>1</v>
      </c>
      <c r="S15" s="135">
        <f t="shared" si="2"/>
        <v>1</v>
      </c>
      <c r="T15" s="135">
        <f t="shared" si="2"/>
        <v>1</v>
      </c>
      <c r="U15" s="135">
        <f t="shared" si="2"/>
        <v>1</v>
      </c>
      <c r="V15" s="135">
        <f t="shared" si="2"/>
        <v>1</v>
      </c>
      <c r="W15" s="135">
        <f t="shared" si="2"/>
        <v>1</v>
      </c>
      <c r="X15" s="135">
        <f t="shared" si="2"/>
        <v>1</v>
      </c>
      <c r="Y15" s="135">
        <f t="shared" si="2"/>
        <v>1</v>
      </c>
      <c r="Z15" s="135">
        <f t="shared" si="2"/>
        <v>1</v>
      </c>
      <c r="AA15" s="135">
        <f t="shared" si="2"/>
        <v>1</v>
      </c>
      <c r="AB15" s="135">
        <f t="shared" si="2"/>
        <v>1</v>
      </c>
      <c r="AC15" s="135">
        <f t="shared" si="2"/>
        <v>1</v>
      </c>
      <c r="AD15" s="135">
        <f t="shared" si="2"/>
        <v>1</v>
      </c>
      <c r="AE15" s="135">
        <f t="shared" si="2"/>
        <v>1</v>
      </c>
      <c r="AF15" s="135">
        <f t="shared" si="2"/>
        <v>1</v>
      </c>
      <c r="AG15" s="135">
        <f t="shared" si="2"/>
        <v>1</v>
      </c>
      <c r="AH15" s="135">
        <f t="shared" si="2"/>
        <v>1</v>
      </c>
      <c r="AI15" s="135">
        <f t="shared" si="2"/>
        <v>1</v>
      </c>
      <c r="AJ15" s="135">
        <f t="shared" si="2"/>
        <v>1</v>
      </c>
      <c r="AK15" s="135">
        <f t="shared" si="2"/>
        <v>1</v>
      </c>
      <c r="AL15" s="135">
        <f t="shared" si="2"/>
        <v>1</v>
      </c>
      <c r="AM15" s="135">
        <f t="shared" si="2"/>
        <v>1</v>
      </c>
      <c r="AN15" s="135">
        <f t="shared" si="2"/>
        <v>1</v>
      </c>
    </row>
    <row r="16" spans="1:40" ht="14.25" customHeight="1">
      <c r="A16" s="134" t="s">
        <v>471</v>
      </c>
      <c r="B16" s="133"/>
      <c r="C16" s="133"/>
      <c r="D16" s="80">
        <v>1</v>
      </c>
      <c r="E16" s="135">
        <f t="shared" ref="E16:AN16" si="3">D16*(1+E8)</f>
        <v>1</v>
      </c>
      <c r="F16" s="135">
        <f t="shared" si="3"/>
        <v>1</v>
      </c>
      <c r="G16" s="135">
        <f t="shared" si="3"/>
        <v>1</v>
      </c>
      <c r="H16" s="135">
        <f t="shared" si="3"/>
        <v>1</v>
      </c>
      <c r="I16" s="135">
        <f t="shared" si="3"/>
        <v>1</v>
      </c>
      <c r="J16" s="135">
        <f t="shared" si="3"/>
        <v>1</v>
      </c>
      <c r="K16" s="135">
        <f t="shared" si="3"/>
        <v>1</v>
      </c>
      <c r="L16" s="135">
        <f t="shared" si="3"/>
        <v>1</v>
      </c>
      <c r="M16" s="135">
        <f t="shared" si="3"/>
        <v>1</v>
      </c>
      <c r="N16" s="135">
        <f t="shared" si="3"/>
        <v>1</v>
      </c>
      <c r="O16" s="135">
        <f t="shared" si="3"/>
        <v>1</v>
      </c>
      <c r="P16" s="135">
        <f t="shared" si="3"/>
        <v>1</v>
      </c>
      <c r="Q16" s="135">
        <f t="shared" si="3"/>
        <v>1</v>
      </c>
      <c r="R16" s="135">
        <f t="shared" si="3"/>
        <v>1</v>
      </c>
      <c r="S16" s="135">
        <f t="shared" si="3"/>
        <v>1</v>
      </c>
      <c r="T16" s="135">
        <f t="shared" si="3"/>
        <v>1</v>
      </c>
      <c r="U16" s="135">
        <f t="shared" si="3"/>
        <v>1</v>
      </c>
      <c r="V16" s="135">
        <f t="shared" si="3"/>
        <v>1</v>
      </c>
      <c r="W16" s="135">
        <f t="shared" si="3"/>
        <v>1</v>
      </c>
      <c r="X16" s="135">
        <f t="shared" si="3"/>
        <v>1</v>
      </c>
      <c r="Y16" s="135">
        <f t="shared" si="3"/>
        <v>1</v>
      </c>
      <c r="Z16" s="135">
        <f t="shared" si="3"/>
        <v>1</v>
      </c>
      <c r="AA16" s="135">
        <f t="shared" si="3"/>
        <v>1</v>
      </c>
      <c r="AB16" s="135">
        <f t="shared" si="3"/>
        <v>1</v>
      </c>
      <c r="AC16" s="135">
        <f t="shared" si="3"/>
        <v>1</v>
      </c>
      <c r="AD16" s="135">
        <f t="shared" si="3"/>
        <v>1</v>
      </c>
      <c r="AE16" s="135">
        <f t="shared" si="3"/>
        <v>1</v>
      </c>
      <c r="AF16" s="135">
        <f t="shared" si="3"/>
        <v>1</v>
      </c>
      <c r="AG16" s="135">
        <f t="shared" si="3"/>
        <v>1</v>
      </c>
      <c r="AH16" s="135">
        <f t="shared" si="3"/>
        <v>1</v>
      </c>
      <c r="AI16" s="135">
        <f t="shared" si="3"/>
        <v>1</v>
      </c>
      <c r="AJ16" s="135">
        <f t="shared" si="3"/>
        <v>1</v>
      </c>
      <c r="AK16" s="135">
        <f t="shared" si="3"/>
        <v>1</v>
      </c>
      <c r="AL16" s="135">
        <f t="shared" si="3"/>
        <v>1</v>
      </c>
      <c r="AM16" s="135">
        <f t="shared" si="3"/>
        <v>1</v>
      </c>
      <c r="AN16" s="135">
        <f t="shared" si="3"/>
        <v>1</v>
      </c>
    </row>
    <row r="17" spans="1:40" ht="14.25" customHeight="1">
      <c r="A17" s="134" t="s">
        <v>472</v>
      </c>
      <c r="B17" s="133"/>
      <c r="C17" s="133"/>
      <c r="D17" s="80">
        <v>1</v>
      </c>
      <c r="E17" s="135">
        <f t="shared" ref="E17:AN17" si="4">D17*(1+E9)</f>
        <v>1.1039000000000001</v>
      </c>
      <c r="F17" s="135">
        <f t="shared" si="4"/>
        <v>1.2185952100000002</v>
      </c>
      <c r="G17" s="135">
        <f t="shared" si="4"/>
        <v>1.3360677882440002</v>
      </c>
      <c r="H17" s="135">
        <f t="shared" si="4"/>
        <v>1.4581843840895017</v>
      </c>
      <c r="I17" s="135">
        <f t="shared" si="4"/>
        <v>1.5914624367952821</v>
      </c>
      <c r="J17" s="135">
        <f t="shared" si="4"/>
        <v>1.7369221035183708</v>
      </c>
      <c r="K17" s="135">
        <f t="shared" si="4"/>
        <v>1.8956767837799497</v>
      </c>
      <c r="L17" s="135">
        <f t="shared" si="4"/>
        <v>2.0689416418174371</v>
      </c>
      <c r="M17" s="135">
        <f t="shared" si="4"/>
        <v>2.2580429078795508</v>
      </c>
      <c r="N17" s="135">
        <f t="shared" si="4"/>
        <v>2.4644280296597416</v>
      </c>
      <c r="O17" s="135">
        <f t="shared" si="4"/>
        <v>2.6896767515706417</v>
      </c>
      <c r="P17" s="135">
        <f t="shared" si="4"/>
        <v>2.935513206664198</v>
      </c>
      <c r="Q17" s="135">
        <f t="shared" si="4"/>
        <v>3.2038191137533056</v>
      </c>
      <c r="R17" s="135">
        <f t="shared" si="4"/>
        <v>3.4966481807503573</v>
      </c>
      <c r="S17" s="135">
        <f t="shared" si="4"/>
        <v>3.8162418244709397</v>
      </c>
      <c r="T17" s="135">
        <f t="shared" si="4"/>
        <v>4.1650463272275831</v>
      </c>
      <c r="U17" s="135">
        <f t="shared" si="4"/>
        <v>4.5457315615361837</v>
      </c>
      <c r="V17" s="135">
        <f t="shared" si="4"/>
        <v>4.9612114262605909</v>
      </c>
      <c r="W17" s="135">
        <f t="shared" si="4"/>
        <v>5.4146661506208087</v>
      </c>
      <c r="X17" s="135">
        <f t="shared" si="4"/>
        <v>5.9095666367875506</v>
      </c>
      <c r="Y17" s="135">
        <f t="shared" si="4"/>
        <v>6.4497010273899322</v>
      </c>
      <c r="Z17" s="135">
        <f t="shared" si="4"/>
        <v>7.0392037012933715</v>
      </c>
      <c r="AA17" s="135">
        <f t="shared" si="4"/>
        <v>7.6825869195915848</v>
      </c>
      <c r="AB17" s="135">
        <f t="shared" si="4"/>
        <v>8.3847753640422553</v>
      </c>
      <c r="AC17" s="135">
        <f t="shared" si="4"/>
        <v>9.1511438323157162</v>
      </c>
      <c r="AD17" s="135">
        <f t="shared" si="4"/>
        <v>9.9875583785893713</v>
      </c>
      <c r="AE17" s="135">
        <f t="shared" si="4"/>
        <v>10.900421214392439</v>
      </c>
      <c r="AF17" s="135">
        <f t="shared" si="4"/>
        <v>11.896719713387908</v>
      </c>
      <c r="AG17" s="135">
        <f t="shared" si="4"/>
        <v>12.984079895191561</v>
      </c>
      <c r="AH17" s="135">
        <f t="shared" si="4"/>
        <v>14.170824797612068</v>
      </c>
      <c r="AI17" s="135">
        <f t="shared" si="4"/>
        <v>15.46603818411381</v>
      </c>
      <c r="AJ17" s="135">
        <f t="shared" si="4"/>
        <v>16.879634074141812</v>
      </c>
      <c r="AK17" s="135">
        <f t="shared" si="4"/>
        <v>18.422432628518372</v>
      </c>
      <c r="AL17" s="135">
        <f t="shared" si="4"/>
        <v>20.106242970764949</v>
      </c>
      <c r="AM17" s="135">
        <f t="shared" si="4"/>
        <v>21.943953578292863</v>
      </c>
      <c r="AN17" s="135">
        <f t="shared" si="4"/>
        <v>23.949630935348829</v>
      </c>
    </row>
    <row r="18" spans="1:40" ht="14.25" customHeight="1">
      <c r="A18" s="134" t="s">
        <v>473</v>
      </c>
      <c r="B18" s="133"/>
      <c r="C18" s="133"/>
      <c r="D18" s="80">
        <v>1</v>
      </c>
      <c r="E18" s="135">
        <f t="shared" ref="E18:AN18" si="5">D18*(1+E10)</f>
        <v>1</v>
      </c>
      <c r="F18" s="135">
        <f t="shared" si="5"/>
        <v>1</v>
      </c>
      <c r="G18" s="135">
        <f t="shared" si="5"/>
        <v>1</v>
      </c>
      <c r="H18" s="135">
        <f t="shared" si="5"/>
        <v>1</v>
      </c>
      <c r="I18" s="135">
        <f t="shared" si="5"/>
        <v>1</v>
      </c>
      <c r="J18" s="135">
        <f t="shared" si="5"/>
        <v>1</v>
      </c>
      <c r="K18" s="135">
        <f t="shared" si="5"/>
        <v>1</v>
      </c>
      <c r="L18" s="135">
        <f t="shared" si="5"/>
        <v>1</v>
      </c>
      <c r="M18" s="135">
        <f t="shared" si="5"/>
        <v>1</v>
      </c>
      <c r="N18" s="135">
        <f t="shared" si="5"/>
        <v>1</v>
      </c>
      <c r="O18" s="135">
        <f t="shared" si="5"/>
        <v>1</v>
      </c>
      <c r="P18" s="135">
        <f t="shared" si="5"/>
        <v>1</v>
      </c>
      <c r="Q18" s="135">
        <f t="shared" si="5"/>
        <v>1</v>
      </c>
      <c r="R18" s="135">
        <f t="shared" si="5"/>
        <v>1</v>
      </c>
      <c r="S18" s="135">
        <f t="shared" si="5"/>
        <v>1</v>
      </c>
      <c r="T18" s="135">
        <f t="shared" si="5"/>
        <v>1</v>
      </c>
      <c r="U18" s="135">
        <f t="shared" si="5"/>
        <v>1</v>
      </c>
      <c r="V18" s="135">
        <f t="shared" si="5"/>
        <v>1</v>
      </c>
      <c r="W18" s="135">
        <f t="shared" si="5"/>
        <v>1</v>
      </c>
      <c r="X18" s="135">
        <f t="shared" si="5"/>
        <v>1</v>
      </c>
      <c r="Y18" s="135">
        <f t="shared" si="5"/>
        <v>1</v>
      </c>
      <c r="Z18" s="135">
        <f t="shared" si="5"/>
        <v>1</v>
      </c>
      <c r="AA18" s="135">
        <f t="shared" si="5"/>
        <v>1</v>
      </c>
      <c r="AB18" s="135">
        <f t="shared" si="5"/>
        <v>1</v>
      </c>
      <c r="AC18" s="135">
        <f t="shared" si="5"/>
        <v>1</v>
      </c>
      <c r="AD18" s="135">
        <f t="shared" si="5"/>
        <v>1</v>
      </c>
      <c r="AE18" s="135">
        <f t="shared" si="5"/>
        <v>1</v>
      </c>
      <c r="AF18" s="135">
        <f t="shared" si="5"/>
        <v>1</v>
      </c>
      <c r="AG18" s="135">
        <f t="shared" si="5"/>
        <v>1</v>
      </c>
      <c r="AH18" s="135">
        <f t="shared" si="5"/>
        <v>1</v>
      </c>
      <c r="AI18" s="135">
        <f t="shared" si="5"/>
        <v>1</v>
      </c>
      <c r="AJ18" s="135">
        <f t="shared" si="5"/>
        <v>1</v>
      </c>
      <c r="AK18" s="135">
        <f t="shared" si="5"/>
        <v>1</v>
      </c>
      <c r="AL18" s="135">
        <f t="shared" si="5"/>
        <v>1</v>
      </c>
      <c r="AM18" s="135">
        <f t="shared" si="5"/>
        <v>1</v>
      </c>
      <c r="AN18" s="135">
        <f t="shared" si="5"/>
        <v>1</v>
      </c>
    </row>
    <row r="19" spans="1:40" ht="14.25" customHeight="1">
      <c r="A19" s="134" t="s">
        <v>474</v>
      </c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</row>
  </sheetData>
  <sheetProtection password="C643" sheet="1" objects="1" scenarios="1"/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28"/>
  <sheetViews>
    <sheetView topLeftCell="A13" zoomScale="125" workbookViewId="0">
      <selection activeCell="G68" sqref="G68"/>
    </sheetView>
  </sheetViews>
  <sheetFormatPr defaultColWidth="10.7109375" defaultRowHeight="15"/>
  <cols>
    <col min="1" max="1" width="82" customWidth="1"/>
    <col min="2" max="3" width="21.42578125" customWidth="1"/>
    <col min="4" max="4" width="29" customWidth="1"/>
  </cols>
  <sheetData>
    <row r="1" spans="1:10">
      <c r="A1" s="265" t="s">
        <v>476</v>
      </c>
      <c r="B1" s="266" t="s">
        <v>477</v>
      </c>
      <c r="C1" s="266" t="s">
        <v>478</v>
      </c>
      <c r="D1" s="266" t="s">
        <v>479</v>
      </c>
      <c r="E1" s="266" t="s">
        <v>480</v>
      </c>
      <c r="F1" s="266" t="s">
        <v>481</v>
      </c>
      <c r="G1" s="266" t="s">
        <v>482</v>
      </c>
      <c r="H1" s="266" t="s">
        <v>483</v>
      </c>
      <c r="I1" s="266" t="s">
        <v>484</v>
      </c>
      <c r="J1" s="267" t="s">
        <v>485</v>
      </c>
    </row>
    <row r="2" spans="1:10">
      <c r="A2" s="268" t="s">
        <v>316</v>
      </c>
      <c r="B2" s="269"/>
      <c r="C2" s="270"/>
      <c r="D2" s="270"/>
      <c r="E2" s="270"/>
      <c r="F2" s="270"/>
      <c r="G2" s="270"/>
      <c r="H2" s="270"/>
      <c r="I2" s="270"/>
      <c r="J2" s="271"/>
    </row>
    <row r="3" spans="1:10">
      <c r="A3" s="272" t="s">
        <v>369</v>
      </c>
      <c r="B3" s="273"/>
      <c r="C3" s="274"/>
      <c r="D3" s="274"/>
      <c r="E3" s="274"/>
      <c r="F3" s="274"/>
      <c r="G3" s="274"/>
      <c r="H3" s="274"/>
      <c r="I3" s="274"/>
      <c r="J3" s="275"/>
    </row>
    <row r="4" spans="1:10">
      <c r="A4" s="276" t="s">
        <v>486</v>
      </c>
      <c r="B4" s="277"/>
      <c r="C4" s="278"/>
      <c r="D4" s="278"/>
      <c r="E4" s="279"/>
      <c r="F4" s="278"/>
      <c r="G4" s="278"/>
      <c r="H4" s="278">
        <v>1</v>
      </c>
      <c r="I4" s="278" t="s">
        <v>292</v>
      </c>
      <c r="J4" s="280">
        <v>3500000</v>
      </c>
    </row>
    <row r="5" spans="1:10">
      <c r="A5" s="276" t="s">
        <v>487</v>
      </c>
      <c r="B5" s="277"/>
      <c r="C5" s="278"/>
      <c r="D5" s="278"/>
      <c r="E5" s="279"/>
      <c r="F5" s="278"/>
      <c r="G5" s="278"/>
      <c r="H5" s="278">
        <v>1</v>
      </c>
      <c r="I5" s="278" t="s">
        <v>292</v>
      </c>
      <c r="J5" s="280">
        <v>4000000</v>
      </c>
    </row>
    <row r="6" spans="1:10">
      <c r="A6" s="276" t="s">
        <v>488</v>
      </c>
      <c r="B6" s="277"/>
      <c r="C6" s="278"/>
      <c r="D6" s="278"/>
      <c r="E6" s="279"/>
      <c r="F6" s="278"/>
      <c r="G6" s="278"/>
      <c r="H6" s="278">
        <v>1</v>
      </c>
      <c r="I6" s="278" t="s">
        <v>292</v>
      </c>
      <c r="J6" s="280">
        <v>4400000</v>
      </c>
    </row>
    <row r="7" spans="1:10">
      <c r="A7" s="276" t="s">
        <v>489</v>
      </c>
      <c r="B7" s="277"/>
      <c r="C7" s="278"/>
      <c r="D7" s="278"/>
      <c r="E7" s="279"/>
      <c r="F7" s="278"/>
      <c r="G7" s="278"/>
      <c r="H7" s="278">
        <v>1</v>
      </c>
      <c r="I7" s="278" t="s">
        <v>292</v>
      </c>
      <c r="J7" s="280">
        <v>3800000</v>
      </c>
    </row>
    <row r="8" spans="1:10">
      <c r="A8" s="276" t="s">
        <v>273</v>
      </c>
      <c r="B8" s="277"/>
      <c r="C8" s="278"/>
      <c r="D8" s="278"/>
      <c r="E8" s="279"/>
      <c r="F8" s="278"/>
      <c r="G8" s="278"/>
      <c r="H8" s="278">
        <v>1</v>
      </c>
      <c r="I8" s="278" t="s">
        <v>292</v>
      </c>
      <c r="J8" s="280">
        <v>300000</v>
      </c>
    </row>
    <row r="9" spans="1:10">
      <c r="A9" s="276" t="s">
        <v>490</v>
      </c>
      <c r="B9" s="277"/>
      <c r="C9" s="278"/>
      <c r="D9" s="278"/>
      <c r="E9" s="279"/>
      <c r="F9" s="278"/>
      <c r="G9" s="278"/>
      <c r="H9" s="278">
        <v>1</v>
      </c>
      <c r="I9" s="278" t="s">
        <v>292</v>
      </c>
      <c r="J9" s="280">
        <v>180000</v>
      </c>
    </row>
    <row r="10" spans="1:10">
      <c r="A10" s="276" t="s">
        <v>491</v>
      </c>
      <c r="B10" s="277"/>
      <c r="C10" s="278"/>
      <c r="D10" s="278" t="s">
        <v>492</v>
      </c>
      <c r="E10" s="279"/>
      <c r="F10" s="278"/>
      <c r="G10" s="278" t="s">
        <v>493</v>
      </c>
      <c r="H10" s="278">
        <v>1</v>
      </c>
      <c r="I10" s="278" t="s">
        <v>292</v>
      </c>
      <c r="J10" s="280">
        <v>1600000</v>
      </c>
    </row>
    <row r="11" spans="1:10">
      <c r="A11" s="272" t="s">
        <v>246</v>
      </c>
      <c r="B11" s="273"/>
      <c r="C11" s="274"/>
      <c r="D11" s="274"/>
      <c r="E11" s="281">
        <v>6784</v>
      </c>
      <c r="F11" s="274"/>
      <c r="G11" s="274"/>
      <c r="H11" s="274"/>
      <c r="I11" s="274"/>
      <c r="J11" s="275"/>
    </row>
    <row r="12" spans="1:10">
      <c r="A12" s="276" t="s">
        <v>494</v>
      </c>
      <c r="B12" s="277"/>
      <c r="C12" s="278"/>
      <c r="D12" s="278"/>
      <c r="E12" s="279"/>
      <c r="F12" s="278"/>
      <c r="G12" s="278"/>
      <c r="H12" s="278">
        <v>1</v>
      </c>
      <c r="I12" s="278" t="s">
        <v>292</v>
      </c>
      <c r="J12" s="280">
        <v>300000</v>
      </c>
    </row>
    <row r="13" spans="1:10">
      <c r="A13" s="276" t="s">
        <v>280</v>
      </c>
      <c r="B13" s="282"/>
      <c r="C13" s="278"/>
      <c r="D13" s="278"/>
      <c r="E13" s="279">
        <v>3200</v>
      </c>
      <c r="F13" s="278"/>
      <c r="G13" s="278"/>
      <c r="H13" s="278">
        <v>3200</v>
      </c>
      <c r="I13" s="278" t="s">
        <v>178</v>
      </c>
      <c r="J13" s="280">
        <v>305</v>
      </c>
    </row>
    <row r="14" spans="1:10">
      <c r="A14" s="276" t="s">
        <v>495</v>
      </c>
      <c r="B14" s="282">
        <v>2000</v>
      </c>
      <c r="C14" s="278" t="s">
        <v>496</v>
      </c>
      <c r="D14" s="278"/>
      <c r="E14" s="279">
        <v>700</v>
      </c>
      <c r="F14" s="278"/>
      <c r="G14" s="278" t="s">
        <v>497</v>
      </c>
      <c r="H14" s="278">
        <v>700</v>
      </c>
      <c r="I14" s="278" t="s">
        <v>178</v>
      </c>
      <c r="J14" s="280">
        <v>3143</v>
      </c>
    </row>
    <row r="15" spans="1:10">
      <c r="A15" s="276" t="s">
        <v>248</v>
      </c>
      <c r="B15" s="282"/>
      <c r="C15" s="283"/>
      <c r="D15" s="283"/>
      <c r="E15" s="279">
        <v>884</v>
      </c>
      <c r="F15" s="278"/>
      <c r="G15" s="278"/>
      <c r="H15" s="278">
        <v>884</v>
      </c>
      <c r="I15" s="278" t="s">
        <v>178</v>
      </c>
      <c r="J15" s="280">
        <v>2896</v>
      </c>
    </row>
    <row r="16" spans="1:10">
      <c r="A16" s="276" t="s">
        <v>249</v>
      </c>
      <c r="B16" s="282"/>
      <c r="C16" s="278"/>
      <c r="D16" s="278" t="s">
        <v>498</v>
      </c>
      <c r="E16" s="279">
        <v>2000</v>
      </c>
      <c r="F16" s="278"/>
      <c r="G16" s="278"/>
      <c r="H16" s="278">
        <v>2000</v>
      </c>
      <c r="I16" s="278" t="s">
        <v>178</v>
      </c>
      <c r="J16" s="280">
        <v>600</v>
      </c>
    </row>
    <row r="17" spans="1:10">
      <c r="A17" s="284" t="s">
        <v>360</v>
      </c>
      <c r="B17" s="282">
        <v>25</v>
      </c>
      <c r="C17" s="285">
        <v>0.01</v>
      </c>
      <c r="D17" s="285"/>
      <c r="E17" s="279"/>
      <c r="F17" s="278"/>
      <c r="G17" s="278" t="s">
        <v>497</v>
      </c>
      <c r="H17" s="278"/>
      <c r="I17" s="278"/>
      <c r="J17" s="280"/>
    </row>
    <row r="18" spans="1:10">
      <c r="A18" s="284" t="s">
        <v>361</v>
      </c>
      <c r="B18" s="282">
        <v>200</v>
      </c>
      <c r="C18" s="283">
        <v>0.03</v>
      </c>
      <c r="D18" s="283"/>
      <c r="E18" s="279"/>
      <c r="F18" s="278"/>
      <c r="G18" s="278" t="s">
        <v>497</v>
      </c>
      <c r="H18" s="278"/>
      <c r="I18" s="278"/>
      <c r="J18" s="280"/>
    </row>
    <row r="19" spans="1:10">
      <c r="A19" s="284" t="s">
        <v>499</v>
      </c>
      <c r="B19" s="282">
        <v>32</v>
      </c>
      <c r="C19" s="285">
        <v>0.22</v>
      </c>
      <c r="D19" s="285"/>
      <c r="E19" s="279"/>
      <c r="F19" s="278"/>
      <c r="G19" s="278" t="s">
        <v>497</v>
      </c>
      <c r="H19" s="278"/>
      <c r="I19" s="278"/>
      <c r="J19" s="280"/>
    </row>
    <row r="20" spans="1:10">
      <c r="A20" s="284" t="s">
        <v>363</v>
      </c>
      <c r="B20" s="282">
        <v>60</v>
      </c>
      <c r="C20" s="283">
        <v>0.20046436834556658</v>
      </c>
      <c r="D20" s="283"/>
      <c r="E20" s="279"/>
      <c r="F20" s="278"/>
      <c r="G20" s="278" t="s">
        <v>497</v>
      </c>
      <c r="H20" s="278"/>
      <c r="I20" s="278"/>
      <c r="J20" s="280"/>
    </row>
    <row r="21" spans="1:10">
      <c r="A21" s="272" t="s">
        <v>500</v>
      </c>
      <c r="B21" s="273"/>
      <c r="C21" s="274"/>
      <c r="D21" s="274"/>
      <c r="E21" s="281">
        <v>19000</v>
      </c>
      <c r="F21" s="274"/>
      <c r="G21" s="274"/>
      <c r="H21" s="274"/>
      <c r="I21" s="274"/>
      <c r="J21" s="275"/>
    </row>
    <row r="22" spans="1:10">
      <c r="A22" s="276" t="s">
        <v>494</v>
      </c>
      <c r="B22" s="277"/>
      <c r="C22" s="278"/>
      <c r="D22" s="278"/>
      <c r="E22" s="279"/>
      <c r="F22" s="278"/>
      <c r="G22" s="278"/>
      <c r="H22" s="278">
        <v>1</v>
      </c>
      <c r="I22" s="278" t="s">
        <v>292</v>
      </c>
      <c r="J22" s="280">
        <v>400000</v>
      </c>
    </row>
    <row r="23" spans="1:10">
      <c r="A23" s="276" t="s">
        <v>501</v>
      </c>
      <c r="B23" s="280">
        <v>2000</v>
      </c>
      <c r="C23" s="278" t="s">
        <v>496</v>
      </c>
      <c r="D23" s="278"/>
      <c r="E23" s="279">
        <v>400</v>
      </c>
      <c r="F23" s="278"/>
      <c r="G23" s="278" t="s">
        <v>497</v>
      </c>
      <c r="H23" s="278">
        <v>400</v>
      </c>
      <c r="I23" s="278" t="s">
        <v>178</v>
      </c>
      <c r="J23" s="280">
        <v>2250</v>
      </c>
    </row>
    <row r="24" spans="1:10">
      <c r="A24" s="276" t="s">
        <v>502</v>
      </c>
      <c r="B24" s="286">
        <v>40</v>
      </c>
      <c r="C24" s="283">
        <v>0.6</v>
      </c>
      <c r="D24" s="278" t="s">
        <v>503</v>
      </c>
      <c r="E24" s="279">
        <v>400</v>
      </c>
      <c r="F24" s="278"/>
      <c r="G24" s="278" t="s">
        <v>497</v>
      </c>
      <c r="H24" s="278">
        <v>400</v>
      </c>
      <c r="I24" s="278" t="s">
        <v>178</v>
      </c>
      <c r="J24" s="280">
        <v>2300</v>
      </c>
    </row>
    <row r="25" spans="1:10">
      <c r="A25" s="276" t="s">
        <v>366</v>
      </c>
      <c r="B25" s="277"/>
      <c r="C25" s="283">
        <v>0.21</v>
      </c>
      <c r="D25" s="283" t="s">
        <v>504</v>
      </c>
      <c r="E25" s="279">
        <v>5000</v>
      </c>
      <c r="F25" s="278"/>
      <c r="G25" s="278" t="s">
        <v>497</v>
      </c>
      <c r="H25" s="278">
        <v>5000</v>
      </c>
      <c r="I25" s="278" t="s">
        <v>178</v>
      </c>
      <c r="J25" s="280">
        <v>1980</v>
      </c>
    </row>
    <row r="26" spans="1:10">
      <c r="A26" s="276" t="s">
        <v>505</v>
      </c>
      <c r="B26" s="277"/>
      <c r="C26" s="278"/>
      <c r="D26" s="278"/>
      <c r="E26" s="279"/>
      <c r="F26" s="278"/>
      <c r="G26" s="278" t="s">
        <v>497</v>
      </c>
      <c r="H26" s="278">
        <v>1</v>
      </c>
      <c r="I26" s="278" t="s">
        <v>292</v>
      </c>
      <c r="J26" s="280">
        <v>1640000</v>
      </c>
    </row>
    <row r="27" spans="1:10">
      <c r="A27" s="272" t="s">
        <v>506</v>
      </c>
      <c r="B27" s="273"/>
      <c r="C27" s="274"/>
      <c r="D27" s="274"/>
      <c r="E27" s="281"/>
      <c r="F27" s="274"/>
      <c r="G27" s="274"/>
      <c r="H27" s="274"/>
      <c r="I27" s="274"/>
      <c r="J27" s="275"/>
    </row>
    <row r="28" spans="1:10">
      <c r="A28" s="276" t="s">
        <v>367</v>
      </c>
      <c r="B28" s="286">
        <v>7</v>
      </c>
      <c r="C28" s="283">
        <v>0.7</v>
      </c>
      <c r="D28" s="283" t="s">
        <v>507</v>
      </c>
      <c r="E28" s="279">
        <v>56000</v>
      </c>
      <c r="F28" s="278">
        <v>2200</v>
      </c>
      <c r="G28" s="278" t="s">
        <v>497</v>
      </c>
      <c r="H28" s="279">
        <v>56000</v>
      </c>
      <c r="I28" s="278" t="s">
        <v>508</v>
      </c>
      <c r="J28" s="280">
        <v>38</v>
      </c>
    </row>
  </sheetData>
  <sheetProtection password="C643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AN31"/>
  <sheetViews>
    <sheetView tabSelected="1" zoomScale="70" zoomScaleNormal="70" workbookViewId="0">
      <pane ySplit="3" topLeftCell="A4" activePane="bottomLeft" state="frozen"/>
      <selection pane="bottomLeft" activeCell="D28" sqref="D28"/>
      <selection activeCell="G68" sqref="G68"/>
    </sheetView>
  </sheetViews>
  <sheetFormatPr defaultColWidth="14.42578125" defaultRowHeight="15" customHeight="1"/>
  <cols>
    <col min="1" max="1" width="35.7109375" bestFit="1" customWidth="1"/>
    <col min="2" max="2" width="8.5703125" bestFit="1" customWidth="1"/>
    <col min="3" max="3" width="13.42578125" customWidth="1"/>
    <col min="4" max="4" width="12.140625" bestFit="1" customWidth="1"/>
    <col min="5" max="5" width="11" bestFit="1" customWidth="1"/>
    <col min="6" max="17" width="9.7109375" bestFit="1" customWidth="1"/>
    <col min="18" max="18" width="9.28515625" bestFit="1" customWidth="1"/>
    <col min="19" max="32" width="9.7109375" bestFit="1" customWidth="1"/>
    <col min="33" max="33" width="9.28515625" bestFit="1" customWidth="1"/>
    <col min="34" max="34" width="9.7109375" bestFit="1" customWidth="1"/>
    <col min="35" max="40" width="8.140625" bestFit="1" customWidth="1"/>
  </cols>
  <sheetData>
    <row r="1" spans="1:40" s="148" customFormat="1" ht="13.5" customHeight="1">
      <c r="A1" s="146" t="s">
        <v>106</v>
      </c>
      <c r="B1" s="156"/>
      <c r="C1" s="147"/>
      <c r="D1" s="146"/>
      <c r="E1" s="146">
        <f>DRE!E1</f>
        <v>2025</v>
      </c>
      <c r="F1" s="146">
        <f>DRE!F1</f>
        <v>2026</v>
      </c>
      <c r="G1" s="146">
        <f>DRE!G1</f>
        <v>2027</v>
      </c>
      <c r="H1" s="146">
        <f>DRE!H1</f>
        <v>2028</v>
      </c>
      <c r="I1" s="146">
        <f>DRE!I1</f>
        <v>2029</v>
      </c>
      <c r="J1" s="146">
        <f>DRE!J1</f>
        <v>2030</v>
      </c>
      <c r="K1" s="146">
        <f>DRE!K1</f>
        <v>2031</v>
      </c>
      <c r="L1" s="146">
        <f>DRE!L1</f>
        <v>2032</v>
      </c>
      <c r="M1" s="146">
        <f>DRE!M1</f>
        <v>2033</v>
      </c>
      <c r="N1" s="146">
        <f>DRE!N1</f>
        <v>2034</v>
      </c>
      <c r="O1" s="146">
        <f>DRE!O1</f>
        <v>2035</v>
      </c>
      <c r="P1" s="146">
        <f>DRE!P1</f>
        <v>2036</v>
      </c>
      <c r="Q1" s="146">
        <f>DRE!Q1</f>
        <v>2037</v>
      </c>
      <c r="R1" s="146">
        <f>DRE!R1</f>
        <v>2038</v>
      </c>
      <c r="S1" s="146">
        <f>DRE!S1</f>
        <v>2039</v>
      </c>
      <c r="T1" s="146">
        <f>DRE!T1</f>
        <v>2040</v>
      </c>
      <c r="U1" s="146">
        <f>DRE!U1</f>
        <v>2041</v>
      </c>
      <c r="V1" s="146">
        <f>DRE!V1</f>
        <v>2042</v>
      </c>
      <c r="W1" s="146">
        <f>DRE!W1</f>
        <v>2043</v>
      </c>
      <c r="X1" s="146">
        <f>DRE!X1</f>
        <v>2044</v>
      </c>
      <c r="Y1" s="146">
        <f>DRE!Y1</f>
        <v>2045</v>
      </c>
      <c r="Z1" s="146">
        <f>DRE!Z1</f>
        <v>2046</v>
      </c>
      <c r="AA1" s="146">
        <f>DRE!AA1</f>
        <v>2047</v>
      </c>
      <c r="AB1" s="146">
        <f>DRE!AB1</f>
        <v>2048</v>
      </c>
      <c r="AC1" s="146">
        <f>DRE!AC1</f>
        <v>2049</v>
      </c>
      <c r="AD1" s="146">
        <f>DRE!AD1</f>
        <v>2050</v>
      </c>
      <c r="AE1" s="146">
        <f>DRE!AE1</f>
        <v>2051</v>
      </c>
      <c r="AF1" s="146">
        <f>DRE!AF1</f>
        <v>2052</v>
      </c>
      <c r="AG1" s="146">
        <f>DRE!AG1</f>
        <v>2053</v>
      </c>
      <c r="AH1" s="146">
        <f>DRE!AH1</f>
        <v>2054</v>
      </c>
      <c r="AI1" s="146">
        <f>DRE!AI1</f>
        <v>2055</v>
      </c>
      <c r="AJ1" s="146">
        <f>DRE!AJ1</f>
        <v>2056</v>
      </c>
      <c r="AK1" s="146">
        <f>DRE!AK1</f>
        <v>2057</v>
      </c>
      <c r="AL1" s="146">
        <f>DRE!AL1</f>
        <v>2058</v>
      </c>
      <c r="AM1" s="146">
        <f>DRE!AM1</f>
        <v>2059</v>
      </c>
      <c r="AN1" s="146">
        <f>DRE!AN1</f>
        <v>2060</v>
      </c>
    </row>
    <row r="2" spans="1:40" s="151" customFormat="1" ht="13.5" customHeight="1">
      <c r="A2" s="153" t="s">
        <v>107</v>
      </c>
      <c r="B2" s="153"/>
      <c r="C2" s="153"/>
      <c r="D2" s="154"/>
      <c r="E2" s="153">
        <f>DRE!E2</f>
        <v>1</v>
      </c>
      <c r="F2" s="153">
        <f>DRE!F2</f>
        <v>2</v>
      </c>
      <c r="G2" s="153">
        <f>DRE!G2</f>
        <v>3</v>
      </c>
      <c r="H2" s="153">
        <f>DRE!H2</f>
        <v>4</v>
      </c>
      <c r="I2" s="153">
        <f>DRE!I2</f>
        <v>5</v>
      </c>
      <c r="J2" s="153">
        <f>DRE!J2</f>
        <v>6</v>
      </c>
      <c r="K2" s="153">
        <f>DRE!K2</f>
        <v>7</v>
      </c>
      <c r="L2" s="153">
        <f>DRE!L2</f>
        <v>8</v>
      </c>
      <c r="M2" s="153">
        <f>DRE!M2</f>
        <v>9</v>
      </c>
      <c r="N2" s="153">
        <f>DRE!N2</f>
        <v>10</v>
      </c>
      <c r="O2" s="153">
        <f>DRE!O2</f>
        <v>11</v>
      </c>
      <c r="P2" s="153">
        <f>DRE!P2</f>
        <v>12</v>
      </c>
      <c r="Q2" s="153">
        <f>DRE!Q2</f>
        <v>13</v>
      </c>
      <c r="R2" s="153">
        <f>DRE!R2</f>
        <v>14</v>
      </c>
      <c r="S2" s="153">
        <f>DRE!S2</f>
        <v>15</v>
      </c>
      <c r="T2" s="153">
        <f>DRE!T2</f>
        <v>16</v>
      </c>
      <c r="U2" s="153">
        <f>DRE!U2</f>
        <v>17</v>
      </c>
      <c r="V2" s="153">
        <f>DRE!V2</f>
        <v>18</v>
      </c>
      <c r="W2" s="153">
        <f>DRE!W2</f>
        <v>19</v>
      </c>
      <c r="X2" s="153">
        <f>DRE!X2</f>
        <v>20</v>
      </c>
      <c r="Y2" s="153">
        <f>DRE!Y2</f>
        <v>21</v>
      </c>
      <c r="Z2" s="153">
        <f>DRE!Z2</f>
        <v>22</v>
      </c>
      <c r="AA2" s="153">
        <f>DRE!AA2</f>
        <v>23</v>
      </c>
      <c r="AB2" s="153">
        <f>DRE!AB2</f>
        <v>24</v>
      </c>
      <c r="AC2" s="153">
        <f>DRE!AC2</f>
        <v>25</v>
      </c>
      <c r="AD2" s="153">
        <f>DRE!AD2</f>
        <v>26</v>
      </c>
      <c r="AE2" s="153">
        <f>DRE!AE2</f>
        <v>27</v>
      </c>
      <c r="AF2" s="153">
        <f>DRE!AF2</f>
        <v>28</v>
      </c>
      <c r="AG2" s="153">
        <f>DRE!AG2</f>
        <v>29</v>
      </c>
      <c r="AH2" s="153">
        <f>DRE!AH2</f>
        <v>30</v>
      </c>
      <c r="AI2" s="153">
        <f>DRE!AI2</f>
        <v>31</v>
      </c>
      <c r="AJ2" s="153">
        <f>DRE!AJ2</f>
        <v>32</v>
      </c>
      <c r="AK2" s="153">
        <f>DRE!AK2</f>
        <v>33</v>
      </c>
      <c r="AL2" s="153">
        <f>DRE!AL2</f>
        <v>34</v>
      </c>
      <c r="AM2" s="153">
        <f>DRE!AM2</f>
        <v>35</v>
      </c>
      <c r="AN2" s="153">
        <f>DRE!AN2</f>
        <v>36</v>
      </c>
    </row>
    <row r="3" spans="1:40" s="151" customFormat="1" ht="13.5" customHeight="1">
      <c r="A3" s="153" t="s">
        <v>108</v>
      </c>
      <c r="B3" s="153"/>
      <c r="C3" s="153"/>
      <c r="D3" s="154"/>
      <c r="E3" s="155">
        <f>DRE!E3</f>
        <v>1</v>
      </c>
      <c r="F3" s="155">
        <f>DRE!F3</f>
        <v>1</v>
      </c>
      <c r="G3" s="155">
        <f>DRE!G3</f>
        <v>1</v>
      </c>
      <c r="H3" s="155">
        <f>DRE!H3</f>
        <v>1</v>
      </c>
      <c r="I3" s="155">
        <f>DRE!I3</f>
        <v>1</v>
      </c>
      <c r="J3" s="155">
        <f>DRE!J3</f>
        <v>1</v>
      </c>
      <c r="K3" s="155">
        <f>DRE!K3</f>
        <v>1</v>
      </c>
      <c r="L3" s="155">
        <f>DRE!L3</f>
        <v>1</v>
      </c>
      <c r="M3" s="155">
        <f>DRE!M3</f>
        <v>1</v>
      </c>
      <c r="N3" s="155">
        <f>DRE!N3</f>
        <v>1</v>
      </c>
      <c r="O3" s="155">
        <f>DRE!O3</f>
        <v>1</v>
      </c>
      <c r="P3" s="155">
        <f>DRE!P3</f>
        <v>1</v>
      </c>
      <c r="Q3" s="155">
        <f>DRE!Q3</f>
        <v>1</v>
      </c>
      <c r="R3" s="155">
        <f>DRE!R3</f>
        <v>1</v>
      </c>
      <c r="S3" s="155">
        <f>DRE!S3</f>
        <v>1</v>
      </c>
      <c r="T3" s="155">
        <f>DRE!T3</f>
        <v>1</v>
      </c>
      <c r="U3" s="155">
        <f>DRE!U3</f>
        <v>1</v>
      </c>
      <c r="V3" s="155">
        <f>DRE!V3</f>
        <v>1</v>
      </c>
      <c r="W3" s="155">
        <f>DRE!W3</f>
        <v>1</v>
      </c>
      <c r="X3" s="155">
        <f>DRE!X3</f>
        <v>1</v>
      </c>
      <c r="Y3" s="155">
        <f>DRE!Y3</f>
        <v>1</v>
      </c>
      <c r="Z3" s="155">
        <f>DRE!Z3</f>
        <v>1</v>
      </c>
      <c r="AA3" s="155">
        <f>DRE!AA3</f>
        <v>1</v>
      </c>
      <c r="AB3" s="155">
        <f>DRE!AB3</f>
        <v>1</v>
      </c>
      <c r="AC3" s="155">
        <f>DRE!AC3</f>
        <v>1</v>
      </c>
      <c r="AD3" s="155">
        <f>DRE!AD3</f>
        <v>1</v>
      </c>
      <c r="AE3" s="155">
        <f>DRE!AE3</f>
        <v>1</v>
      </c>
      <c r="AF3" s="155">
        <f>DRE!AF3</f>
        <v>1</v>
      </c>
      <c r="AG3" s="155">
        <f>DRE!AG3</f>
        <v>1</v>
      </c>
      <c r="AH3" s="155">
        <f>DRE!AH3</f>
        <v>1</v>
      </c>
      <c r="AI3" s="155">
        <f>DRE!AI3</f>
        <v>0</v>
      </c>
      <c r="AJ3" s="155">
        <f>DRE!AJ3</f>
        <v>0</v>
      </c>
      <c r="AK3" s="155">
        <f>DRE!AK3</f>
        <v>0</v>
      </c>
      <c r="AL3" s="155">
        <f>DRE!AL3</f>
        <v>0</v>
      </c>
      <c r="AM3" s="155">
        <f>DRE!AM3</f>
        <v>0</v>
      </c>
      <c r="AN3" s="155">
        <f>DRE!AN3</f>
        <v>0</v>
      </c>
    </row>
    <row r="4" spans="1:40" ht="13.5" customHeight="1">
      <c r="A4" s="60"/>
      <c r="B4" s="57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</row>
    <row r="5" spans="1:40" ht="13.5" customHeight="1">
      <c r="A5" s="61" t="s">
        <v>109</v>
      </c>
      <c r="B5" s="60" t="s">
        <v>16</v>
      </c>
      <c r="C5" s="60"/>
      <c r="D5" s="62">
        <f>SUM(E5:AN5)</f>
        <v>404767.11002503941</v>
      </c>
      <c r="E5" s="62">
        <f t="shared" ref="E5:AN5" si="0">SUM(E6:E7)</f>
        <v>8408.8060465005274</v>
      </c>
      <c r="F5" s="62">
        <f t="shared" si="0"/>
        <v>12691.548526090954</v>
      </c>
      <c r="G5" s="62">
        <f t="shared" si="0"/>
        <v>13250.627427234751</v>
      </c>
      <c r="H5" s="62">
        <f t="shared" si="0"/>
        <v>13283.112967897392</v>
      </c>
      <c r="I5" s="62">
        <f t="shared" si="0"/>
        <v>13315.708959398286</v>
      </c>
      <c r="J5" s="62">
        <f t="shared" si="0"/>
        <v>13348.415777270284</v>
      </c>
      <c r="K5" s="62">
        <f t="shared" si="0"/>
        <v>13381.233798323046</v>
      </c>
      <c r="L5" s="62">
        <f t="shared" si="0"/>
        <v>13414.163400647387</v>
      </c>
      <c r="M5" s="62">
        <f t="shared" si="0"/>
        <v>13447.20496361963</v>
      </c>
      <c r="N5" s="62">
        <f t="shared" si="0"/>
        <v>13480.358867905978</v>
      </c>
      <c r="O5" s="62">
        <f t="shared" si="0"/>
        <v>13513.625495466902</v>
      </c>
      <c r="P5" s="62">
        <f t="shared" si="0"/>
        <v>13547.005229561531</v>
      </c>
      <c r="Q5" s="62">
        <f t="shared" si="0"/>
        <v>13580.498454752083</v>
      </c>
      <c r="R5" s="62">
        <f t="shared" si="0"/>
        <v>13614.105556908286</v>
      </c>
      <c r="S5" s="62">
        <f t="shared" si="0"/>
        <v>13647.826923211813</v>
      </c>
      <c r="T5" s="62">
        <f t="shared" si="0"/>
        <v>13681.662942160776</v>
      </c>
      <c r="U5" s="62">
        <f t="shared" si="0"/>
        <v>13715.614003574166</v>
      </c>
      <c r="V5" s="62">
        <f t="shared" si="0"/>
        <v>13749.680498596363</v>
      </c>
      <c r="W5" s="62">
        <f t="shared" si="0"/>
        <v>13783.862819701633</v>
      </c>
      <c r="X5" s="62">
        <f t="shared" si="0"/>
        <v>13818.161360698658</v>
      </c>
      <c r="Y5" s="62">
        <f t="shared" si="0"/>
        <v>13852.576516735078</v>
      </c>
      <c r="Z5" s="62">
        <f t="shared" si="0"/>
        <v>13887.10868430202</v>
      </c>
      <c r="AA5" s="62">
        <f t="shared" si="0"/>
        <v>13921.758261238689</v>
      </c>
      <c r="AB5" s="62">
        <f t="shared" si="0"/>
        <v>13956.525646736944</v>
      </c>
      <c r="AC5" s="62">
        <f t="shared" si="0"/>
        <v>13991.41124134589</v>
      </c>
      <c r="AD5" s="62">
        <f t="shared" si="0"/>
        <v>14026.415446976511</v>
      </c>
      <c r="AE5" s="62">
        <f t="shared" si="0"/>
        <v>14061.538666906272</v>
      </c>
      <c r="AF5" s="62">
        <f t="shared" si="0"/>
        <v>14096.781305783796</v>
      </c>
      <c r="AG5" s="62">
        <f t="shared" si="0"/>
        <v>14132.1437696335</v>
      </c>
      <c r="AH5" s="62">
        <f t="shared" si="0"/>
        <v>14167.6264658603</v>
      </c>
      <c r="AI5" s="62">
        <f t="shared" si="0"/>
        <v>0</v>
      </c>
      <c r="AJ5" s="62">
        <f t="shared" si="0"/>
        <v>0</v>
      </c>
      <c r="AK5" s="62">
        <f t="shared" si="0"/>
        <v>0</v>
      </c>
      <c r="AL5" s="62">
        <f t="shared" si="0"/>
        <v>0</v>
      </c>
      <c r="AM5" s="62">
        <f t="shared" si="0"/>
        <v>0</v>
      </c>
      <c r="AN5" s="62">
        <f t="shared" si="0"/>
        <v>0</v>
      </c>
    </row>
    <row r="6" spans="1:40" ht="13.5" customHeight="1">
      <c r="A6" s="63" t="s">
        <v>110</v>
      </c>
      <c r="B6" s="57"/>
      <c r="C6" s="60"/>
      <c r="D6" s="46">
        <f>SUM(E6:AH6)</f>
        <v>404767.11002503941</v>
      </c>
      <c r="E6" s="40">
        <f>DRE!E5</f>
        <v>8408.8060465005274</v>
      </c>
      <c r="F6" s="40">
        <f>DRE!F5</f>
        <v>12691.548526090954</v>
      </c>
      <c r="G6" s="40">
        <f>DRE!G5</f>
        <v>13250.627427234751</v>
      </c>
      <c r="H6" s="40">
        <f>DRE!H5</f>
        <v>13283.112967897392</v>
      </c>
      <c r="I6" s="40">
        <f>DRE!I5</f>
        <v>13315.708959398286</v>
      </c>
      <c r="J6" s="40">
        <f>DRE!J5</f>
        <v>13348.415777270284</v>
      </c>
      <c r="K6" s="40">
        <f>DRE!K5</f>
        <v>13381.233798323046</v>
      </c>
      <c r="L6" s="40">
        <f>DRE!L5</f>
        <v>13414.163400647387</v>
      </c>
      <c r="M6" s="40">
        <f>DRE!M5</f>
        <v>13447.20496361963</v>
      </c>
      <c r="N6" s="40">
        <f>DRE!N5</f>
        <v>13480.358867905978</v>
      </c>
      <c r="O6" s="40">
        <f>DRE!O5</f>
        <v>13513.625495466902</v>
      </c>
      <c r="P6" s="40">
        <f>DRE!P5</f>
        <v>13547.005229561531</v>
      </c>
      <c r="Q6" s="40">
        <f>DRE!Q5</f>
        <v>13580.498454752083</v>
      </c>
      <c r="R6" s="40">
        <f>DRE!R5</f>
        <v>13614.105556908286</v>
      </c>
      <c r="S6" s="40">
        <f>DRE!S5</f>
        <v>13647.826923211813</v>
      </c>
      <c r="T6" s="40">
        <f>DRE!T5</f>
        <v>13681.662942160776</v>
      </c>
      <c r="U6" s="40">
        <f>DRE!U5</f>
        <v>13715.614003574166</v>
      </c>
      <c r="V6" s="40">
        <f>DRE!V5</f>
        <v>13749.680498596363</v>
      </c>
      <c r="W6" s="40">
        <f>DRE!W5</f>
        <v>13783.862819701633</v>
      </c>
      <c r="X6" s="40">
        <f>DRE!X5</f>
        <v>13818.161360698658</v>
      </c>
      <c r="Y6" s="40">
        <f>DRE!Y5</f>
        <v>13852.576516735078</v>
      </c>
      <c r="Z6" s="40">
        <f>DRE!Z5</f>
        <v>13887.10868430202</v>
      </c>
      <c r="AA6" s="40">
        <f>DRE!AA5</f>
        <v>13921.758261238689</v>
      </c>
      <c r="AB6" s="40">
        <f>DRE!AB5</f>
        <v>13956.525646736944</v>
      </c>
      <c r="AC6" s="40">
        <f>DRE!AC5</f>
        <v>13991.41124134589</v>
      </c>
      <c r="AD6" s="40">
        <f>DRE!AD5</f>
        <v>14026.415446976511</v>
      </c>
      <c r="AE6" s="40">
        <f>DRE!AE5</f>
        <v>14061.538666906272</v>
      </c>
      <c r="AF6" s="40">
        <f>DRE!AF5</f>
        <v>14096.781305783796</v>
      </c>
      <c r="AG6" s="40">
        <f>DRE!AG5</f>
        <v>14132.1437696335</v>
      </c>
      <c r="AH6" s="40">
        <f>DRE!AH5</f>
        <v>14167.6264658603</v>
      </c>
      <c r="AI6" s="40">
        <f>DRE!AI5</f>
        <v>0</v>
      </c>
      <c r="AJ6" s="40">
        <f>DRE!AJ5</f>
        <v>0</v>
      </c>
      <c r="AK6" s="40">
        <f>DRE!AK5</f>
        <v>0</v>
      </c>
      <c r="AL6" s="40">
        <f>DRE!AL5</f>
        <v>0</v>
      </c>
      <c r="AM6" s="40">
        <f>DRE!AM5</f>
        <v>0</v>
      </c>
      <c r="AN6" s="40">
        <f>DRE!AN5</f>
        <v>0</v>
      </c>
    </row>
    <row r="7" spans="1:40" ht="13.5" customHeight="1">
      <c r="A7" s="63" t="s">
        <v>111</v>
      </c>
      <c r="B7" s="57"/>
      <c r="C7" s="60"/>
      <c r="D7" s="46"/>
      <c r="E7" s="40">
        <f>DRE!E18</f>
        <v>0</v>
      </c>
      <c r="F7" s="40">
        <f>DRE!F18</f>
        <v>0</v>
      </c>
      <c r="G7" s="40">
        <f>DRE!G18</f>
        <v>0</v>
      </c>
      <c r="H7" s="40">
        <f>DRE!H18</f>
        <v>0</v>
      </c>
      <c r="I7" s="40">
        <f>DRE!I18</f>
        <v>0</v>
      </c>
      <c r="J7" s="40">
        <f>DRE!J18</f>
        <v>0</v>
      </c>
      <c r="K7" s="40">
        <f>DRE!K18</f>
        <v>0</v>
      </c>
      <c r="L7" s="40">
        <f>DRE!L18</f>
        <v>0</v>
      </c>
      <c r="M7" s="40">
        <f>DRE!M18</f>
        <v>0</v>
      </c>
      <c r="N7" s="40">
        <f>DRE!N18</f>
        <v>0</v>
      </c>
      <c r="O7" s="40">
        <f>DRE!O18</f>
        <v>0</v>
      </c>
      <c r="P7" s="40">
        <f>DRE!P18</f>
        <v>0</v>
      </c>
      <c r="Q7" s="40">
        <f>DRE!Q18</f>
        <v>0</v>
      </c>
      <c r="R7" s="40">
        <f>DRE!R18</f>
        <v>0</v>
      </c>
      <c r="S7" s="40">
        <f>DRE!S18</f>
        <v>0</v>
      </c>
      <c r="T7" s="40">
        <f>DRE!T18</f>
        <v>0</v>
      </c>
      <c r="U7" s="40">
        <f>DRE!U18</f>
        <v>0</v>
      </c>
      <c r="V7" s="40">
        <f>DRE!V18</f>
        <v>0</v>
      </c>
      <c r="W7" s="40">
        <f>DRE!W18</f>
        <v>0</v>
      </c>
      <c r="X7" s="40">
        <f>DRE!X18</f>
        <v>0</v>
      </c>
      <c r="Y7" s="40">
        <f>DRE!Y18</f>
        <v>0</v>
      </c>
      <c r="Z7" s="40">
        <f>DRE!Z18</f>
        <v>0</v>
      </c>
      <c r="AA7" s="40">
        <f>DRE!AA18</f>
        <v>0</v>
      </c>
      <c r="AB7" s="40">
        <f>DRE!AB18</f>
        <v>0</v>
      </c>
      <c r="AC7" s="40">
        <f>DRE!AC18</f>
        <v>0</v>
      </c>
      <c r="AD7" s="40">
        <f>DRE!AD18</f>
        <v>0</v>
      </c>
      <c r="AE7" s="40">
        <f>DRE!AE18</f>
        <v>0</v>
      </c>
      <c r="AF7" s="40">
        <f>DRE!AF18</f>
        <v>0</v>
      </c>
      <c r="AG7" s="40">
        <f>DRE!AG18</f>
        <v>0</v>
      </c>
      <c r="AH7" s="40">
        <f>DRE!AH18</f>
        <v>0</v>
      </c>
      <c r="AI7" s="40">
        <f>DRE!AI18</f>
        <v>0</v>
      </c>
      <c r="AJ7" s="40">
        <f>DRE!AJ18</f>
        <v>0</v>
      </c>
      <c r="AK7" s="40">
        <f>DRE!AK18</f>
        <v>0</v>
      </c>
      <c r="AL7" s="40">
        <f>DRE!AL18</f>
        <v>0</v>
      </c>
      <c r="AM7" s="40">
        <f>DRE!AM18</f>
        <v>0</v>
      </c>
      <c r="AN7" s="40">
        <f>DRE!AN18</f>
        <v>0</v>
      </c>
    </row>
    <row r="8" spans="1:40" ht="13.5" customHeight="1">
      <c r="A8" s="61" t="s">
        <v>112</v>
      </c>
      <c r="B8" s="60" t="s">
        <v>16</v>
      </c>
      <c r="C8" s="60"/>
      <c r="D8" s="62">
        <f>SUM(E8:AN8)</f>
        <v>-277887.62376304704</v>
      </c>
      <c r="E8" s="62">
        <f t="shared" ref="E8:AN8" si="1">SUM(E9:E11)</f>
        <v>-3714.7326626415665</v>
      </c>
      <c r="F8" s="62">
        <f>SUM(F9:F11)</f>
        <v>-7161.7592518508609</v>
      </c>
      <c r="G8" s="62">
        <f>SUM(G9:G11)</f>
        <v>-9446.7498596850837</v>
      </c>
      <c r="H8" s="62">
        <f t="shared" si="1"/>
        <v>-9453.1758244835619</v>
      </c>
      <c r="I8" s="62">
        <f t="shared" si="1"/>
        <v>-9459.6236375623539</v>
      </c>
      <c r="J8" s="62">
        <f t="shared" si="1"/>
        <v>-9466.0933732056146</v>
      </c>
      <c r="K8" s="62">
        <f t="shared" si="1"/>
        <v>-9472.5851059500601</v>
      </c>
      <c r="L8" s="62">
        <f t="shared" si="1"/>
        <v>-9479.0989105858389</v>
      </c>
      <c r="M8" s="62">
        <f t="shared" si="1"/>
        <v>-9485.6348621573779</v>
      </c>
      <c r="N8" s="62">
        <f t="shared" si="1"/>
        <v>-9492.1930359642611</v>
      </c>
      <c r="O8" s="62">
        <f t="shared" si="1"/>
        <v>-9498.7735075620876</v>
      </c>
      <c r="P8" s="62">
        <f t="shared" si="1"/>
        <v>-9505.3763527633455</v>
      </c>
      <c r="Q8" s="62">
        <f t="shared" si="1"/>
        <v>-9512.001647638288</v>
      </c>
      <c r="R8" s="62">
        <f t="shared" si="1"/>
        <v>-9518.6494685158068</v>
      </c>
      <c r="S8" s="62">
        <f t="shared" si="1"/>
        <v>-9525.3198919843071</v>
      </c>
      <c r="T8" s="62">
        <f t="shared" si="1"/>
        <v>-9532.0129948926024</v>
      </c>
      <c r="U8" s="62">
        <f t="shared" si="1"/>
        <v>-9538.7288543507857</v>
      </c>
      <c r="V8" s="62">
        <f t="shared" si="1"/>
        <v>-9545.4675477311248</v>
      </c>
      <c r="W8" s="62">
        <f t="shared" si="1"/>
        <v>-9552.2291526689587</v>
      </c>
      <c r="X8" s="62">
        <f t="shared" si="1"/>
        <v>-9559.0137470635818</v>
      </c>
      <c r="Y8" s="62">
        <f t="shared" si="1"/>
        <v>-9565.8214090791462</v>
      </c>
      <c r="Z8" s="62">
        <f t="shared" si="1"/>
        <v>-9572.6522171455617</v>
      </c>
      <c r="AA8" s="62">
        <f t="shared" si="1"/>
        <v>-9579.5062499594042</v>
      </c>
      <c r="AB8" s="62">
        <f t="shared" si="1"/>
        <v>-9586.3835864848133</v>
      </c>
      <c r="AC8" s="62">
        <f t="shared" si="1"/>
        <v>-9593.2843059544102</v>
      </c>
      <c r="AD8" s="62">
        <f t="shared" si="1"/>
        <v>-9600.2084878702026</v>
      </c>
      <c r="AE8" s="62">
        <f t="shared" si="1"/>
        <v>-9607.1562120045091</v>
      </c>
      <c r="AF8" s="62">
        <f t="shared" si="1"/>
        <v>-9614.1275584008727</v>
      </c>
      <c r="AG8" s="62">
        <f t="shared" si="1"/>
        <v>-9621.1226073749822</v>
      </c>
      <c r="AH8" s="62">
        <f t="shared" si="1"/>
        <v>-9628.1414395156062</v>
      </c>
      <c r="AI8" s="62">
        <f t="shared" si="1"/>
        <v>0</v>
      </c>
      <c r="AJ8" s="62">
        <f t="shared" si="1"/>
        <v>0</v>
      </c>
      <c r="AK8" s="62">
        <f t="shared" si="1"/>
        <v>0</v>
      </c>
      <c r="AL8" s="62">
        <f t="shared" si="1"/>
        <v>0</v>
      </c>
      <c r="AM8" s="62">
        <f t="shared" si="1"/>
        <v>0</v>
      </c>
      <c r="AN8" s="62">
        <f t="shared" si="1"/>
        <v>0</v>
      </c>
    </row>
    <row r="9" spans="1:40" ht="13.5" customHeight="1">
      <c r="A9" s="63" t="s">
        <v>113</v>
      </c>
      <c r="B9" s="57"/>
      <c r="C9" s="60"/>
      <c r="D9" s="62"/>
      <c r="E9" s="40">
        <f>DRE!E10</f>
        <v>-487.07687162478447</v>
      </c>
      <c r="F9" s="40">
        <f>DRE!F10</f>
        <v>-857.53409610935637</v>
      </c>
      <c r="G9" s="40">
        <f>DRE!G10</f>
        <v>-1146.1792724558059</v>
      </c>
      <c r="H9" s="40">
        <f>DRE!H10</f>
        <v>-1148.9892717231246</v>
      </c>
      <c r="I9" s="40">
        <f>DRE!I10</f>
        <v>-1151.8088249879518</v>
      </c>
      <c r="J9" s="40">
        <f>DRE!J10</f>
        <v>-1154.6379647338795</v>
      </c>
      <c r="K9" s="40">
        <f>DRE!K10</f>
        <v>-1157.4767235549434</v>
      </c>
      <c r="L9" s="40">
        <f>DRE!L10</f>
        <v>-1160.325134155999</v>
      </c>
      <c r="M9" s="40">
        <f>DRE!M10</f>
        <v>-1163.1832293530979</v>
      </c>
      <c r="N9" s="40">
        <f>DRE!N10</f>
        <v>-1166.0510420738672</v>
      </c>
      <c r="O9" s="40">
        <f>DRE!O10</f>
        <v>-1168.9286053578871</v>
      </c>
      <c r="P9" s="40">
        <f>DRE!P10</f>
        <v>-1171.8159523570725</v>
      </c>
      <c r="Q9" s="40">
        <f>DRE!Q10</f>
        <v>-1174.7131163360552</v>
      </c>
      <c r="R9" s="40">
        <f>DRE!R10</f>
        <v>-1177.6201306725668</v>
      </c>
      <c r="S9" s="40">
        <f>DRE!S10</f>
        <v>-1180.537028857822</v>
      </c>
      <c r="T9" s="40">
        <f>DRE!T10</f>
        <v>-1183.4638444969071</v>
      </c>
      <c r="U9" s="40">
        <f>DRE!U10</f>
        <v>-1186.4006113091655</v>
      </c>
      <c r="V9" s="40">
        <f>DRE!V10</f>
        <v>-1189.3473631285854</v>
      </c>
      <c r="W9" s="40">
        <f>DRE!W10</f>
        <v>-1192.3041339041913</v>
      </c>
      <c r="X9" s="40">
        <f>DRE!X10</f>
        <v>-1195.2709577004339</v>
      </c>
      <c r="Y9" s="40">
        <f>DRE!Y10</f>
        <v>-1198.2478686975844</v>
      </c>
      <c r="Z9" s="40">
        <f>DRE!Z10</f>
        <v>-1201.2349011921247</v>
      </c>
      <c r="AA9" s="40">
        <f>DRE!AA10</f>
        <v>-1204.2320895971466</v>
      </c>
      <c r="AB9" s="40">
        <f>DRE!AB10</f>
        <v>-1207.2394684427456</v>
      </c>
      <c r="AC9" s="40">
        <f>DRE!AC10</f>
        <v>-1210.2570723764195</v>
      </c>
      <c r="AD9" s="40">
        <f>DRE!AD10</f>
        <v>-1213.2849361634683</v>
      </c>
      <c r="AE9" s="40">
        <f>DRE!AE10</f>
        <v>-1216.3230946873925</v>
      </c>
      <c r="AF9" s="40">
        <f>DRE!AF10</f>
        <v>-1219.3715829502985</v>
      </c>
      <c r="AG9" s="40">
        <f>DRE!AG10</f>
        <v>-1222.4304360732976</v>
      </c>
      <c r="AH9" s="40">
        <f>DRE!AH10</f>
        <v>-1225.4996892969161</v>
      </c>
      <c r="AI9" s="40">
        <f>DRE!AI10</f>
        <v>0</v>
      </c>
      <c r="AJ9" s="40">
        <f>DRE!AJ10</f>
        <v>0</v>
      </c>
      <c r="AK9" s="40">
        <f>DRE!AK10</f>
        <v>0</v>
      </c>
      <c r="AL9" s="40">
        <f>DRE!AL10</f>
        <v>0</v>
      </c>
      <c r="AM9" s="40">
        <f>DRE!AM10</f>
        <v>0</v>
      </c>
      <c r="AN9" s="40">
        <f>DRE!AN10</f>
        <v>0</v>
      </c>
    </row>
    <row r="10" spans="1:40" ht="13.5" customHeight="1">
      <c r="A10" s="63" t="s">
        <v>114</v>
      </c>
      <c r="B10" s="57"/>
      <c r="C10" s="60"/>
      <c r="D10" s="62"/>
      <c r="E10" s="40">
        <f>DRE!E24</f>
        <v>-2639.0088126031806</v>
      </c>
      <c r="F10" s="40">
        <f>DRE!F24</f>
        <v>-5249.6157955484641</v>
      </c>
      <c r="G10" s="40">
        <f>DRE!G24</f>
        <v>-6882.9023231461379</v>
      </c>
      <c r="H10" s="40">
        <f>DRE!H24</f>
        <v>-6882.9838618532012</v>
      </c>
      <c r="I10" s="40">
        <f>DRE!I24</f>
        <v>-6883.0656777918684</v>
      </c>
      <c r="J10" s="40">
        <f>DRE!J24</f>
        <v>-6883.1477719047271</v>
      </c>
      <c r="K10" s="40">
        <f>DRE!K24</f>
        <v>-6883.2301451375697</v>
      </c>
      <c r="L10" s="40">
        <f>DRE!L24</f>
        <v>-6883.3127984394041</v>
      </c>
      <c r="M10" s="40">
        <f>DRE!M24</f>
        <v>-6883.3957327624639</v>
      </c>
      <c r="N10" s="40">
        <f>DRE!N24</f>
        <v>-6883.4789490622225</v>
      </c>
      <c r="O10" s="40">
        <f>DRE!O24</f>
        <v>-6883.5624482974008</v>
      </c>
      <c r="P10" s="40">
        <f>DRE!P24</f>
        <v>-6883.6462314299779</v>
      </c>
      <c r="Q10" s="40">
        <f>DRE!Q24</f>
        <v>-6883.7302994252068</v>
      </c>
      <c r="R10" s="40">
        <f>DRE!R24</f>
        <v>-6883.8146532516184</v>
      </c>
      <c r="S10" s="40">
        <f>DRE!S24</f>
        <v>-6883.8992938810406</v>
      </c>
      <c r="T10" s="40">
        <f>DRE!T24</f>
        <v>-6883.9842222886027</v>
      </c>
      <c r="U10" s="40">
        <f>DRE!U24</f>
        <v>-6884.06943945275</v>
      </c>
      <c r="V10" s="40">
        <f>DRE!V24</f>
        <v>-6884.1549463552556</v>
      </c>
      <c r="W10" s="40">
        <f>DRE!W24</f>
        <v>-6884.2407439812296</v>
      </c>
      <c r="X10" s="40">
        <f>DRE!X24</f>
        <v>-6884.3268333191327</v>
      </c>
      <c r="Y10" s="40">
        <f>DRE!Y24</f>
        <v>-6884.4132153607843</v>
      </c>
      <c r="Z10" s="40">
        <f>DRE!Z24</f>
        <v>-6884.4998911013772</v>
      </c>
      <c r="AA10" s="40">
        <f>DRE!AA24</f>
        <v>-6884.5868615394884</v>
      </c>
      <c r="AB10" s="40">
        <f>DRE!AB24</f>
        <v>-6884.6741276770881</v>
      </c>
      <c r="AC10" s="40">
        <f>DRE!AC24</f>
        <v>-6884.7616905195573</v>
      </c>
      <c r="AD10" s="40">
        <f>DRE!AD24</f>
        <v>-6884.8495510756902</v>
      </c>
      <c r="AE10" s="40">
        <f>DRE!AE24</f>
        <v>-6884.9377103577135</v>
      </c>
      <c r="AF10" s="40">
        <f>DRE!AF24</f>
        <v>-6885.0261693812963</v>
      </c>
      <c r="AG10" s="40">
        <f>DRE!AG24</f>
        <v>-6885.1149291655593</v>
      </c>
      <c r="AH10" s="40">
        <f>DRE!AH24</f>
        <v>-6885.2039907330882</v>
      </c>
      <c r="AI10" s="40">
        <f>DRE!AI24</f>
        <v>0</v>
      </c>
      <c r="AJ10" s="40">
        <f>DRE!AJ24</f>
        <v>0</v>
      </c>
      <c r="AK10" s="40">
        <f>DRE!AK24</f>
        <v>0</v>
      </c>
      <c r="AL10" s="40">
        <f>DRE!AL24</f>
        <v>0</v>
      </c>
      <c r="AM10" s="40">
        <f>DRE!AM24</f>
        <v>0</v>
      </c>
      <c r="AN10" s="40">
        <f>DRE!AN24</f>
        <v>0</v>
      </c>
    </row>
    <row r="11" spans="1:40" ht="13.5" customHeight="1">
      <c r="A11" s="63" t="s">
        <v>115</v>
      </c>
      <c r="B11" s="57"/>
      <c r="C11" s="60"/>
      <c r="D11" s="62"/>
      <c r="E11" s="40">
        <f>DRE!E47+DRE!E48</f>
        <v>-588.64697841360169</v>
      </c>
      <c r="F11" s="40">
        <f>DRE!F47+DRE!F48</f>
        <v>-1054.6093601930402</v>
      </c>
      <c r="G11" s="40">
        <f>DRE!G47+DRE!G48</f>
        <v>-1417.6682640831411</v>
      </c>
      <c r="H11" s="40">
        <f>DRE!H47+DRE!H48</f>
        <v>-1421.2026909072363</v>
      </c>
      <c r="I11" s="40">
        <f>DRE!I47+DRE!I48</f>
        <v>-1424.7491347825335</v>
      </c>
      <c r="J11" s="40">
        <f>DRE!J47+DRE!J48</f>
        <v>-1428.307636567007</v>
      </c>
      <c r="K11" s="40">
        <f>DRE!K47+DRE!K48</f>
        <v>-1431.8782372575474</v>
      </c>
      <c r="L11" s="40">
        <f>DRE!L47+DRE!L48</f>
        <v>-1435.4609779904358</v>
      </c>
      <c r="M11" s="40">
        <f>DRE!M47+DRE!M48</f>
        <v>-1439.0559000418157</v>
      </c>
      <c r="N11" s="40">
        <f>DRE!N47+DRE!N48</f>
        <v>-1442.6630448281703</v>
      </c>
      <c r="O11" s="40">
        <f>DRE!O47+DRE!O48</f>
        <v>-1446.282453906799</v>
      </c>
      <c r="P11" s="40">
        <f>DRE!P47+DRE!P48</f>
        <v>-1449.9141689762946</v>
      </c>
      <c r="Q11" s="40">
        <f>DRE!Q47+DRE!Q48</f>
        <v>-1453.5582318770266</v>
      </c>
      <c r="R11" s="40">
        <f>DRE!R47+DRE!R48</f>
        <v>-1457.2146845916213</v>
      </c>
      <c r="S11" s="40">
        <f>DRE!S47+DRE!S48</f>
        <v>-1460.8835692454452</v>
      </c>
      <c r="T11" s="40">
        <f>DRE!T47+DRE!T48</f>
        <v>-1464.5649281070923</v>
      </c>
      <c r="U11" s="40">
        <f>DRE!U47+DRE!U48</f>
        <v>-1468.2588035888693</v>
      </c>
      <c r="V11" s="40">
        <f>DRE!V47+DRE!V48</f>
        <v>-1471.9652382472841</v>
      </c>
      <c r="W11" s="40">
        <f>DRE!W47+DRE!W48</f>
        <v>-1475.6842747835376</v>
      </c>
      <c r="X11" s="40">
        <f>DRE!X47+DRE!X48</f>
        <v>-1479.4159560440141</v>
      </c>
      <c r="Y11" s="40">
        <f>DRE!Y47+DRE!Y48</f>
        <v>-1483.1603250207766</v>
      </c>
      <c r="Z11" s="40">
        <f>DRE!Z47+DRE!Z48</f>
        <v>-1486.9174248520599</v>
      </c>
      <c r="AA11" s="40">
        <f>DRE!AA47+DRE!AA48</f>
        <v>-1490.6872988227692</v>
      </c>
      <c r="AB11" s="40">
        <f>DRE!AB47+DRE!AB48</f>
        <v>-1494.4699903649794</v>
      </c>
      <c r="AC11" s="40">
        <f>DRE!AC47+DRE!AC48</f>
        <v>-1498.2655430584327</v>
      </c>
      <c r="AD11" s="40">
        <f>DRE!AD47+DRE!AD48</f>
        <v>-1502.0740006310443</v>
      </c>
      <c r="AE11" s="40">
        <f>DRE!AE47+DRE!AE48</f>
        <v>-1505.8954069594024</v>
      </c>
      <c r="AF11" s="40">
        <f>DRE!AF47+DRE!AF48</f>
        <v>-1509.7298060692769</v>
      </c>
      <c r="AG11" s="40">
        <f>DRE!AG47+DRE!AG48</f>
        <v>-1513.5772421361248</v>
      </c>
      <c r="AH11" s="40">
        <f>DRE!AH47+DRE!AH48</f>
        <v>-1517.4377594856007</v>
      </c>
      <c r="AI11" s="40">
        <f>DRE!AI47+DRE!AI48</f>
        <v>0</v>
      </c>
      <c r="AJ11" s="40">
        <f>DRE!AJ47+DRE!AJ48</f>
        <v>0</v>
      </c>
      <c r="AK11" s="40">
        <f>DRE!AK47+DRE!AK48</f>
        <v>0</v>
      </c>
      <c r="AL11" s="40">
        <f>DRE!AL47+DRE!AL48</f>
        <v>0</v>
      </c>
      <c r="AM11" s="40">
        <f>DRE!AM47+DRE!AM48</f>
        <v>0</v>
      </c>
      <c r="AN11" s="40">
        <f>DRE!AN47+DRE!AN48</f>
        <v>0</v>
      </c>
    </row>
    <row r="12" spans="1:40" ht="13.5" customHeight="1">
      <c r="A12" s="60"/>
      <c r="B12" s="57"/>
      <c r="C12" s="60"/>
      <c r="D12" s="62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</row>
    <row r="13" spans="1:40" ht="13.5" customHeight="1">
      <c r="A13" s="64" t="s">
        <v>116</v>
      </c>
      <c r="B13" s="65"/>
      <c r="C13" s="64"/>
      <c r="D13" s="64"/>
      <c r="E13" s="67">
        <f t="shared" ref="E13:AN13" si="2">E5+E8</f>
        <v>4694.0733838589604</v>
      </c>
      <c r="F13" s="67">
        <f t="shared" si="2"/>
        <v>5529.7892742400927</v>
      </c>
      <c r="G13" s="67">
        <f t="shared" si="2"/>
        <v>3803.8775675496672</v>
      </c>
      <c r="H13" s="67">
        <f t="shared" si="2"/>
        <v>3829.9371434138302</v>
      </c>
      <c r="I13" s="67">
        <f t="shared" si="2"/>
        <v>3856.0853218359316</v>
      </c>
      <c r="J13" s="67">
        <f t="shared" si="2"/>
        <v>3882.3224040646692</v>
      </c>
      <c r="K13" s="67">
        <f t="shared" si="2"/>
        <v>3908.6486923729863</v>
      </c>
      <c r="L13" s="67">
        <f t="shared" si="2"/>
        <v>3935.064490061548</v>
      </c>
      <c r="M13" s="67">
        <f t="shared" si="2"/>
        <v>3961.5701014622518</v>
      </c>
      <c r="N13" s="67">
        <f t="shared" si="2"/>
        <v>3988.1658319417165</v>
      </c>
      <c r="O13" s="67">
        <f t="shared" si="2"/>
        <v>4014.8519879048145</v>
      </c>
      <c r="P13" s="67">
        <f t="shared" si="2"/>
        <v>4041.628876798186</v>
      </c>
      <c r="Q13" s="67">
        <f t="shared" si="2"/>
        <v>4068.4968071137955</v>
      </c>
      <c r="R13" s="67">
        <f t="shared" si="2"/>
        <v>4095.4560883924787</v>
      </c>
      <c r="S13" s="67">
        <f t="shared" si="2"/>
        <v>4122.5070312275056</v>
      </c>
      <c r="T13" s="67">
        <f t="shared" si="2"/>
        <v>4149.6499472681735</v>
      </c>
      <c r="U13" s="67">
        <f t="shared" si="2"/>
        <v>4176.8851492233807</v>
      </c>
      <c r="V13" s="67">
        <f t="shared" si="2"/>
        <v>4204.2129508652379</v>
      </c>
      <c r="W13" s="67">
        <f t="shared" si="2"/>
        <v>4231.6336670326746</v>
      </c>
      <c r="X13" s="67">
        <f t="shared" si="2"/>
        <v>4259.1476136350757</v>
      </c>
      <c r="Y13" s="67">
        <f t="shared" si="2"/>
        <v>4286.7551076559321</v>
      </c>
      <c r="Z13" s="67">
        <f t="shared" si="2"/>
        <v>4314.4564671564585</v>
      </c>
      <c r="AA13" s="67">
        <f t="shared" si="2"/>
        <v>4342.2520112792845</v>
      </c>
      <c r="AB13" s="67">
        <f t="shared" si="2"/>
        <v>4370.1420602521302</v>
      </c>
      <c r="AC13" s="67">
        <f t="shared" si="2"/>
        <v>4398.1269353914795</v>
      </c>
      <c r="AD13" s="67">
        <f t="shared" si="2"/>
        <v>4426.2069591063082</v>
      </c>
      <c r="AE13" s="67">
        <f t="shared" si="2"/>
        <v>4454.3824549017627</v>
      </c>
      <c r="AF13" s="67">
        <f t="shared" si="2"/>
        <v>4482.653747382923</v>
      </c>
      <c r="AG13" s="67">
        <f t="shared" si="2"/>
        <v>4511.0211622585175</v>
      </c>
      <c r="AH13" s="67">
        <f t="shared" si="2"/>
        <v>4539.4850263446933</v>
      </c>
      <c r="AI13" s="67">
        <f t="shared" si="2"/>
        <v>0</v>
      </c>
      <c r="AJ13" s="67">
        <f t="shared" si="2"/>
        <v>0</v>
      </c>
      <c r="AK13" s="67">
        <f t="shared" si="2"/>
        <v>0</v>
      </c>
      <c r="AL13" s="67">
        <f t="shared" si="2"/>
        <v>0</v>
      </c>
      <c r="AM13" s="67">
        <f t="shared" si="2"/>
        <v>0</v>
      </c>
      <c r="AN13" s="67">
        <f t="shared" si="2"/>
        <v>0</v>
      </c>
    </row>
    <row r="14" spans="1:40" ht="13.5" customHeight="1">
      <c r="A14" s="60"/>
      <c r="B14" s="57"/>
      <c r="C14" s="60"/>
      <c r="D14" s="62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</row>
    <row r="15" spans="1:40" ht="13.5" customHeight="1">
      <c r="A15" s="68" t="s">
        <v>117</v>
      </c>
      <c r="B15" s="60" t="s">
        <v>16</v>
      </c>
      <c r="C15" s="60"/>
      <c r="D15" s="62"/>
      <c r="E15" s="34">
        <f>-CAPEX!E18-Painel!G22</f>
        <v>-31484.088791728489</v>
      </c>
      <c r="F15" s="34">
        <f>-CAPEX!F18-CAPEX!F29</f>
        <v>-8022.6355183333335</v>
      </c>
      <c r="G15" s="34">
        <f>-CAPEX!G18-CAPEX!G29</f>
        <v>-38.468000000000004</v>
      </c>
      <c r="H15" s="34">
        <f>-CAPEX!H18-CAPEX!H29</f>
        <v>-38.468000000000004</v>
      </c>
      <c r="I15" s="34">
        <f>-CAPEX!I18-CAPEX!I29</f>
        <v>-314.46800000000002</v>
      </c>
      <c r="J15" s="34">
        <f>-CAPEX!J18-CAPEX!J29</f>
        <v>-38.468000000000004</v>
      </c>
      <c r="K15" s="34">
        <f>-CAPEX!K18-CAPEX!K29</f>
        <v>-38.468000000000004</v>
      </c>
      <c r="L15" s="34">
        <f>-CAPEX!L18-CAPEX!L29</f>
        <v>-38.468000000000004</v>
      </c>
      <c r="M15" s="34">
        <f>-CAPEX!M18-CAPEX!M29</f>
        <v>-38.468000000000004</v>
      </c>
      <c r="N15" s="34">
        <f>-CAPEX!N18-CAPEX!N29</f>
        <v>-2460.3140640000001</v>
      </c>
      <c r="O15" s="34">
        <f>-CAPEX!O18-CAPEX!O29</f>
        <v>-38.468000000000004</v>
      </c>
      <c r="P15" s="34">
        <f>-CAPEX!P18-CAPEX!P29</f>
        <v>-38.468000000000004</v>
      </c>
      <c r="Q15" s="34">
        <f>-CAPEX!Q18-CAPEX!Q29</f>
        <v>-38.468000000000004</v>
      </c>
      <c r="R15" s="34">
        <f>-CAPEX!R18-CAPEX!R29</f>
        <v>-38.468000000000004</v>
      </c>
      <c r="S15" s="34">
        <f>-CAPEX!S18-CAPEX!S29</f>
        <v>-314.46800000000002</v>
      </c>
      <c r="T15" s="34">
        <f>-CAPEX!T18-CAPEX!T29</f>
        <v>-38.468000000000004</v>
      </c>
      <c r="U15" s="34">
        <f>-CAPEX!U18-CAPEX!U29</f>
        <v>-38.468000000000004</v>
      </c>
      <c r="V15" s="34">
        <f>-CAPEX!V18-CAPEX!V29</f>
        <v>-38.468000000000004</v>
      </c>
      <c r="W15" s="34">
        <f>-CAPEX!W18-CAPEX!W29</f>
        <v>-38.468000000000004</v>
      </c>
      <c r="X15" s="34">
        <f>-CAPEX!X18-CAPEX!X29</f>
        <v>-2460.3140640000001</v>
      </c>
      <c r="Y15" s="34">
        <f>-CAPEX!Y18-CAPEX!Y29</f>
        <v>-38.468000000000004</v>
      </c>
      <c r="Z15" s="34">
        <f>-CAPEX!Z18-CAPEX!Z29</f>
        <v>-38.468000000000004</v>
      </c>
      <c r="AA15" s="34">
        <f>-CAPEX!AA18-CAPEX!AA29</f>
        <v>-38.468000000000004</v>
      </c>
      <c r="AB15" s="34">
        <f>-CAPEX!AB18-CAPEX!AB29</f>
        <v>-38.468000000000004</v>
      </c>
      <c r="AC15" s="34">
        <f>-CAPEX!AC18-CAPEX!AC29</f>
        <v>-314.46800000000002</v>
      </c>
      <c r="AD15" s="34">
        <f>-CAPEX!AD18-CAPEX!AD29</f>
        <v>-38.468000000000004</v>
      </c>
      <c r="AE15" s="34">
        <f>-CAPEX!AE18-CAPEX!AE29</f>
        <v>-38.468000000000004</v>
      </c>
      <c r="AF15" s="34">
        <f>-CAPEX!AF18-CAPEX!AF29</f>
        <v>-38.468000000000004</v>
      </c>
      <c r="AG15" s="34">
        <f>-CAPEX!AG18-CAPEX!AG29</f>
        <v>-38.468000000000004</v>
      </c>
      <c r="AH15" s="34">
        <f>-CAPEX!AH18-CAPEX!AH29</f>
        <v>-2460.3140640000001</v>
      </c>
      <c r="AI15" s="34">
        <f>-CAPEX!AI18-CAPEX!AI29</f>
        <v>0</v>
      </c>
      <c r="AJ15" s="34">
        <f>-CAPEX!AJ18-CAPEX!AJ29</f>
        <v>0</v>
      </c>
      <c r="AK15" s="34">
        <f>-CAPEX!AK18-CAPEX!AK29</f>
        <v>0</v>
      </c>
      <c r="AL15" s="34">
        <f>-CAPEX!AL18-CAPEX!AL29</f>
        <v>0</v>
      </c>
      <c r="AM15" s="34">
        <f>-CAPEX!AM18-CAPEX!AM29</f>
        <v>0</v>
      </c>
      <c r="AN15" s="34">
        <f>-CAPEX!AN18-CAPEX!AN29</f>
        <v>0</v>
      </c>
    </row>
    <row r="17" spans="1:40" ht="13.5" customHeight="1">
      <c r="A17" s="64" t="s">
        <v>118</v>
      </c>
      <c r="B17" s="65" t="s">
        <v>16</v>
      </c>
      <c r="C17" s="64"/>
      <c r="D17" s="64"/>
      <c r="E17" s="67">
        <f t="shared" ref="E17:AN17" si="3">E13+E15</f>
        <v>-26790.015407869527</v>
      </c>
      <c r="F17" s="67">
        <f t="shared" si="3"/>
        <v>-2492.8462440932408</v>
      </c>
      <c r="G17" s="67">
        <f t="shared" si="3"/>
        <v>3765.4095675496674</v>
      </c>
      <c r="H17" s="67">
        <f t="shared" si="3"/>
        <v>3791.4691434138304</v>
      </c>
      <c r="I17" s="67">
        <f t="shared" si="3"/>
        <v>3541.6173218359318</v>
      </c>
      <c r="J17" s="67">
        <f t="shared" si="3"/>
        <v>3843.8544040646693</v>
      </c>
      <c r="K17" s="67">
        <f t="shared" si="3"/>
        <v>3870.1806923729864</v>
      </c>
      <c r="L17" s="67">
        <f t="shared" si="3"/>
        <v>3896.5964900615481</v>
      </c>
      <c r="M17" s="67">
        <f t="shared" si="3"/>
        <v>3923.102101462252</v>
      </c>
      <c r="N17" s="67">
        <f t="shared" si="3"/>
        <v>1527.8517679417164</v>
      </c>
      <c r="O17" s="67">
        <f t="shared" si="3"/>
        <v>3976.3839879048146</v>
      </c>
      <c r="P17" s="67">
        <f t="shared" si="3"/>
        <v>4003.1608767981861</v>
      </c>
      <c r="Q17" s="67">
        <f t="shared" si="3"/>
        <v>4030.0288071137957</v>
      </c>
      <c r="R17" s="67">
        <f t="shared" si="3"/>
        <v>4056.9880883924789</v>
      </c>
      <c r="S17" s="67">
        <f t="shared" si="3"/>
        <v>3808.0390312275058</v>
      </c>
      <c r="T17" s="67">
        <f t="shared" si="3"/>
        <v>4111.1819472681736</v>
      </c>
      <c r="U17" s="67">
        <f t="shared" si="3"/>
        <v>4138.4171492233809</v>
      </c>
      <c r="V17" s="67">
        <f t="shared" si="3"/>
        <v>4165.744950865238</v>
      </c>
      <c r="W17" s="67">
        <f t="shared" si="3"/>
        <v>4193.1656670326747</v>
      </c>
      <c r="X17" s="67">
        <f t="shared" si="3"/>
        <v>1798.8335496350755</v>
      </c>
      <c r="Y17" s="67">
        <f t="shared" si="3"/>
        <v>4248.2871076559322</v>
      </c>
      <c r="Z17" s="67">
        <f t="shared" si="3"/>
        <v>4275.9884671564587</v>
      </c>
      <c r="AA17" s="67">
        <f t="shared" si="3"/>
        <v>4303.7840112792846</v>
      </c>
      <c r="AB17" s="67">
        <f t="shared" si="3"/>
        <v>4331.6740602521304</v>
      </c>
      <c r="AC17" s="67">
        <f t="shared" si="3"/>
        <v>4083.6589353914796</v>
      </c>
      <c r="AD17" s="67">
        <f t="shared" si="3"/>
        <v>4387.7389591063084</v>
      </c>
      <c r="AE17" s="67">
        <f t="shared" si="3"/>
        <v>4415.9144549017628</v>
      </c>
      <c r="AF17" s="67">
        <f t="shared" si="3"/>
        <v>4444.1857473829232</v>
      </c>
      <c r="AG17" s="67">
        <f t="shared" si="3"/>
        <v>4472.5531622585177</v>
      </c>
      <c r="AH17" s="67">
        <f t="shared" si="3"/>
        <v>2079.1709623446932</v>
      </c>
      <c r="AI17" s="67">
        <f t="shared" si="3"/>
        <v>0</v>
      </c>
      <c r="AJ17" s="67">
        <f t="shared" si="3"/>
        <v>0</v>
      </c>
      <c r="AK17" s="67">
        <f t="shared" si="3"/>
        <v>0</v>
      </c>
      <c r="AL17" s="67">
        <f t="shared" si="3"/>
        <v>0</v>
      </c>
      <c r="AM17" s="67">
        <f t="shared" si="3"/>
        <v>0</v>
      </c>
      <c r="AN17" s="67">
        <f t="shared" si="3"/>
        <v>0</v>
      </c>
    </row>
    <row r="18" spans="1:40" ht="13.5" customHeight="1">
      <c r="A18" s="63" t="s">
        <v>119</v>
      </c>
      <c r="B18" s="57"/>
      <c r="C18" s="56"/>
      <c r="D18" s="62"/>
      <c r="E18" s="40">
        <f>E17</f>
        <v>-26790.015407869527</v>
      </c>
      <c r="F18" s="40">
        <f t="shared" ref="F18:AN18" si="4">E18+F17</f>
        <v>-29282.861651962769</v>
      </c>
      <c r="G18" s="40">
        <f t="shared" si="4"/>
        <v>-25517.4520844131</v>
      </c>
      <c r="H18" s="40">
        <f t="shared" si="4"/>
        <v>-21725.982940999271</v>
      </c>
      <c r="I18" s="40">
        <f t="shared" si="4"/>
        <v>-18184.365619163338</v>
      </c>
      <c r="J18" s="40">
        <f t="shared" si="4"/>
        <v>-14340.511215098668</v>
      </c>
      <c r="K18" s="40">
        <f t="shared" si="4"/>
        <v>-10470.330522725682</v>
      </c>
      <c r="L18" s="40">
        <f t="shared" si="4"/>
        <v>-6573.7340326641342</v>
      </c>
      <c r="M18" s="40">
        <f t="shared" si="4"/>
        <v>-2650.6319312018823</v>
      </c>
      <c r="N18" s="40">
        <f t="shared" si="4"/>
        <v>-1122.7801632601659</v>
      </c>
      <c r="O18" s="40">
        <f t="shared" si="4"/>
        <v>2853.6038246446487</v>
      </c>
      <c r="P18" s="40">
        <f t="shared" si="4"/>
        <v>6856.7647014428348</v>
      </c>
      <c r="Q18" s="40">
        <f t="shared" si="4"/>
        <v>10886.793508556631</v>
      </c>
      <c r="R18" s="40">
        <f t="shared" si="4"/>
        <v>14943.781596949109</v>
      </c>
      <c r="S18" s="40">
        <f t="shared" si="4"/>
        <v>18751.820628176614</v>
      </c>
      <c r="T18" s="40">
        <f t="shared" si="4"/>
        <v>22863.002575444789</v>
      </c>
      <c r="U18" s="40">
        <f t="shared" si="4"/>
        <v>27001.419724668169</v>
      </c>
      <c r="V18" s="40">
        <f t="shared" si="4"/>
        <v>31167.164675533408</v>
      </c>
      <c r="W18" s="40">
        <f t="shared" si="4"/>
        <v>35360.330342566085</v>
      </c>
      <c r="X18" s="40">
        <f t="shared" si="4"/>
        <v>37159.163892201163</v>
      </c>
      <c r="Y18" s="40">
        <f t="shared" si="4"/>
        <v>41407.450999857094</v>
      </c>
      <c r="Z18" s="40">
        <f t="shared" si="4"/>
        <v>45683.439467013552</v>
      </c>
      <c r="AA18" s="40">
        <f t="shared" si="4"/>
        <v>49987.223478292835</v>
      </c>
      <c r="AB18" s="40">
        <f t="shared" si="4"/>
        <v>54318.897538544967</v>
      </c>
      <c r="AC18" s="40">
        <f t="shared" si="4"/>
        <v>58402.556473936449</v>
      </c>
      <c r="AD18" s="40">
        <f t="shared" si="4"/>
        <v>62790.29543304276</v>
      </c>
      <c r="AE18" s="40">
        <f t="shared" si="4"/>
        <v>67206.209887944526</v>
      </c>
      <c r="AF18" s="40">
        <f t="shared" si="4"/>
        <v>71650.395635327455</v>
      </c>
      <c r="AG18" s="40">
        <f t="shared" si="4"/>
        <v>76122.948797585967</v>
      </c>
      <c r="AH18" s="40">
        <f t="shared" si="4"/>
        <v>78202.119759930662</v>
      </c>
      <c r="AI18" s="40">
        <f t="shared" si="4"/>
        <v>78202.119759930662</v>
      </c>
      <c r="AJ18" s="40">
        <f t="shared" si="4"/>
        <v>78202.119759930662</v>
      </c>
      <c r="AK18" s="40">
        <f t="shared" si="4"/>
        <v>78202.119759930662</v>
      </c>
      <c r="AL18" s="40">
        <f t="shared" si="4"/>
        <v>78202.119759930662</v>
      </c>
      <c r="AM18" s="40">
        <f t="shared" si="4"/>
        <v>78202.119759930662</v>
      </c>
      <c r="AN18" s="40">
        <f t="shared" si="4"/>
        <v>78202.119759930662</v>
      </c>
    </row>
    <row r="19" spans="1:40" ht="13.5" customHeight="1">
      <c r="A19" s="63" t="s">
        <v>120</v>
      </c>
      <c r="B19" s="57"/>
      <c r="C19" s="56"/>
      <c r="D19" s="62"/>
      <c r="E19" s="40">
        <f>E17/(1+Painel!$G$3)^E$2</f>
        <v>-24133.076493203473</v>
      </c>
      <c r="F19" s="40">
        <f>E19+F17/(1+Painel!$G$3)^F$2</f>
        <v>-26155.978963201036</v>
      </c>
      <c r="G19" s="40">
        <f>F19+G17/(1+Painel!$G$3)^G$2</f>
        <v>-23403.453153194696</v>
      </c>
      <c r="H19" s="40">
        <f>G19+H17/(1+Painel!$G$3)^H$2</f>
        <v>-20906.752757280145</v>
      </c>
      <c r="I19" s="40">
        <f>H19+I17/(1+Painel!$G$3)^I$2</f>
        <v>-18805.877513755342</v>
      </c>
      <c r="J19" s="40">
        <f>I19+J17/(1+Painel!$G$3)^J$2</f>
        <v>-16751.854592420241</v>
      </c>
      <c r="K19" s="40">
        <f>J19+K17/(1+Painel!$G$3)^K$2</f>
        <v>-14888.869736930692</v>
      </c>
      <c r="L19" s="40">
        <f>K19+L17/(1+Painel!$G$3)^L$2</f>
        <v>-13199.194483581185</v>
      </c>
      <c r="M19" s="40">
        <f>L19+M17/(1+Painel!$G$3)^M$2</f>
        <v>-11666.741547019097</v>
      </c>
      <c r="N19" s="40">
        <f>M19+N17/(1+Painel!$G$3)^N$2</f>
        <v>-11129.117752537557</v>
      </c>
      <c r="O19" s="40">
        <f>N19+O17/(1+Painel!$G$3)^O$2</f>
        <v>-9868.668679949973</v>
      </c>
      <c r="P19" s="40">
        <f>O19+P17/(1+Painel!$G$3)^P$2</f>
        <v>-8725.5804408397344</v>
      </c>
      <c r="Q19" s="40">
        <f>P19+Q17/(1+Painel!$G$3)^Q$2</f>
        <v>-7688.9484924398585</v>
      </c>
      <c r="R19" s="40">
        <f>Q19+R17/(1+Painel!$G$3)^R$2</f>
        <v>-6748.8791330374306</v>
      </c>
      <c r="S19" s="40">
        <f>R19+S17/(1+Painel!$G$3)^S$2</f>
        <v>-5954.0069806735501</v>
      </c>
      <c r="T19" s="40">
        <f>S19+T17/(1+Painel!$G$3)^T$2</f>
        <v>-5180.9663609072977</v>
      </c>
      <c r="U19" s="40">
        <f>T19+U17/(1+Painel!$G$3)^U$2</f>
        <v>-4479.9799350385611</v>
      </c>
      <c r="V19" s="40">
        <f>U19+V17/(1+Painel!$G$3)^V$2</f>
        <v>-3844.345018402747</v>
      </c>
      <c r="W19" s="40">
        <f>V19+W17/(1+Painel!$G$3)^W$2</f>
        <v>-3267.9810585353566</v>
      </c>
      <c r="X19" s="40">
        <f>W19+X17/(1+Painel!$G$3)^X$2</f>
        <v>-3045.2475797211719</v>
      </c>
      <c r="Y19" s="40">
        <f>X19+Y17/(1+Painel!$G$3)^Y$2</f>
        <v>-2571.3896998754021</v>
      </c>
      <c r="Z19" s="40">
        <f>Y19+Z17/(1+Painel!$G$3)^Z$2</f>
        <v>-2141.7439711328007</v>
      </c>
      <c r="AA19" s="40">
        <f>Z19+AA17/(1+Painel!$G$3)^AA$2</f>
        <v>-1752.1931112346747</v>
      </c>
      <c r="AB19" s="40">
        <f>AA19+AB17/(1+Painel!$G$3)^AB$2</f>
        <v>-1399.0024628464751</v>
      </c>
      <c r="AC19" s="40">
        <f>AB19+AC17/(1+Painel!$G$3)^AC$2</f>
        <v>-1099.0567805889004</v>
      </c>
      <c r="AD19" s="40">
        <f>AC19+AD17/(1+Painel!$G$3)^AD$2</f>
        <v>-808.73898348656621</v>
      </c>
      <c r="AE19" s="40">
        <f>AD19+AE17/(1+Painel!$G$3)^AE$2</f>
        <v>-545.53451661139047</v>
      </c>
      <c r="AF19" s="40">
        <f>AE19+AF17/(1+Painel!$G$3)^AF$2</f>
        <v>-306.91578540268978</v>
      </c>
      <c r="AG19" s="40">
        <f>AF19+AG17/(1+Painel!$G$3)^AG$2</f>
        <v>-90.590359517807769</v>
      </c>
      <c r="AH19" s="40">
        <f>AG19+AH17/(1+Painel!$G$3)^AH$2</f>
        <v>6.8573058342735749E-10</v>
      </c>
      <c r="AI19" s="40">
        <f>AH19+AI17/(1+Painel!$G$3)^AI$2</f>
        <v>6.8573058342735749E-10</v>
      </c>
      <c r="AJ19" s="40">
        <f>AI19+AJ17/(1+Painel!$G$3)^AJ$2</f>
        <v>6.8573058342735749E-10</v>
      </c>
      <c r="AK19" s="40">
        <f>AJ19+AK17/(1+Painel!$G$3)^AK$2</f>
        <v>6.8573058342735749E-10</v>
      </c>
      <c r="AL19" s="40">
        <f>AK19+AL17/(1+Painel!$G$3)^AL$2</f>
        <v>6.8573058342735749E-10</v>
      </c>
      <c r="AM19" s="40">
        <f>AL19+AM17/(1+Painel!$G$3)^AM$2</f>
        <v>6.8573058342735749E-10</v>
      </c>
      <c r="AN19" s="40">
        <f>AM19+AN17/(1+Painel!$G$3)^AN$2</f>
        <v>6.8573058342735749E-10</v>
      </c>
    </row>
    <row r="20" spans="1:40" ht="13.5" customHeight="1">
      <c r="A20" s="63" t="s">
        <v>121</v>
      </c>
      <c r="B20" s="57"/>
      <c r="C20" s="56"/>
      <c r="D20" s="62"/>
      <c r="E20" s="70">
        <f t="shared" ref="E20:AN20" si="5">IF(AND(F19&gt;0,E19&lt;0),(E$1-$E$1)+(-E19/(-E19+F19)),0)</f>
        <v>0</v>
      </c>
      <c r="F20" s="70">
        <f t="shared" si="5"/>
        <v>0</v>
      </c>
      <c r="G20" s="70">
        <f t="shared" si="5"/>
        <v>0</v>
      </c>
      <c r="H20" s="70">
        <f t="shared" si="5"/>
        <v>0</v>
      </c>
      <c r="I20" s="70">
        <f t="shared" si="5"/>
        <v>0</v>
      </c>
      <c r="J20" s="70">
        <f t="shared" si="5"/>
        <v>0</v>
      </c>
      <c r="K20" s="70">
        <f t="shared" si="5"/>
        <v>0</v>
      </c>
      <c r="L20" s="70">
        <f t="shared" si="5"/>
        <v>0</v>
      </c>
      <c r="M20" s="70">
        <f t="shared" si="5"/>
        <v>0</v>
      </c>
      <c r="N20" s="70">
        <f t="shared" si="5"/>
        <v>0</v>
      </c>
      <c r="O20" s="70">
        <f t="shared" si="5"/>
        <v>0</v>
      </c>
      <c r="P20" s="70">
        <f t="shared" si="5"/>
        <v>0</v>
      </c>
      <c r="Q20" s="70">
        <f t="shared" si="5"/>
        <v>0</v>
      </c>
      <c r="R20" s="70">
        <f t="shared" si="5"/>
        <v>0</v>
      </c>
      <c r="S20" s="70">
        <f t="shared" si="5"/>
        <v>0</v>
      </c>
      <c r="T20" s="70">
        <f t="shared" si="5"/>
        <v>0</v>
      </c>
      <c r="U20" s="70">
        <f t="shared" si="5"/>
        <v>0</v>
      </c>
      <c r="V20" s="70">
        <f t="shared" si="5"/>
        <v>0</v>
      </c>
      <c r="W20" s="70">
        <f t="shared" si="5"/>
        <v>0</v>
      </c>
      <c r="X20" s="70">
        <f t="shared" si="5"/>
        <v>0</v>
      </c>
      <c r="Y20" s="70">
        <f t="shared" si="5"/>
        <v>0</v>
      </c>
      <c r="Z20" s="70">
        <f t="shared" si="5"/>
        <v>0</v>
      </c>
      <c r="AA20" s="70">
        <f t="shared" si="5"/>
        <v>0</v>
      </c>
      <c r="AB20" s="70">
        <f t="shared" si="5"/>
        <v>0</v>
      </c>
      <c r="AC20" s="70">
        <f t="shared" si="5"/>
        <v>0</v>
      </c>
      <c r="AD20" s="70">
        <f t="shared" si="5"/>
        <v>0</v>
      </c>
      <c r="AE20" s="70">
        <f t="shared" si="5"/>
        <v>0</v>
      </c>
      <c r="AF20" s="70">
        <f t="shared" si="5"/>
        <v>0</v>
      </c>
      <c r="AG20" s="70">
        <f t="shared" si="5"/>
        <v>28.999999999992429</v>
      </c>
      <c r="AH20" s="70">
        <f t="shared" si="5"/>
        <v>0</v>
      </c>
      <c r="AI20" s="70">
        <f t="shared" si="5"/>
        <v>0</v>
      </c>
      <c r="AJ20" s="70">
        <f t="shared" si="5"/>
        <v>0</v>
      </c>
      <c r="AK20" s="70">
        <f t="shared" si="5"/>
        <v>0</v>
      </c>
      <c r="AL20" s="70">
        <f t="shared" si="5"/>
        <v>0</v>
      </c>
      <c r="AM20" s="70">
        <f t="shared" si="5"/>
        <v>0</v>
      </c>
      <c r="AN20" s="70">
        <f t="shared" si="5"/>
        <v>0</v>
      </c>
    </row>
    <row r="21" spans="1:40" ht="13.5" customHeight="1">
      <c r="A21" s="61"/>
      <c r="B21" s="69"/>
      <c r="C21" s="61"/>
      <c r="D21" s="62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</row>
    <row r="22" spans="1:40" ht="13.5" customHeight="1">
      <c r="A22" s="64" t="s">
        <v>122</v>
      </c>
      <c r="B22" s="65" t="s">
        <v>16</v>
      </c>
      <c r="C22" s="64"/>
      <c r="D22" s="64"/>
      <c r="E22" s="67">
        <f t="shared" ref="E22:AH22" si="6">SUM(E23:E25)</f>
        <v>0</v>
      </c>
      <c r="F22" s="67">
        <f t="shared" si="6"/>
        <v>0</v>
      </c>
      <c r="G22" s="67">
        <f t="shared" si="6"/>
        <v>0</v>
      </c>
      <c r="H22" s="67">
        <f t="shared" si="6"/>
        <v>0</v>
      </c>
      <c r="I22" s="67">
        <f t="shared" si="6"/>
        <v>0</v>
      </c>
      <c r="J22" s="67">
        <f t="shared" si="6"/>
        <v>0</v>
      </c>
      <c r="K22" s="67">
        <f t="shared" si="6"/>
        <v>0</v>
      </c>
      <c r="L22" s="67">
        <f t="shared" si="6"/>
        <v>0</v>
      </c>
      <c r="M22" s="67">
        <f t="shared" si="6"/>
        <v>0</v>
      </c>
      <c r="N22" s="67">
        <f t="shared" si="6"/>
        <v>0</v>
      </c>
      <c r="O22" s="67">
        <f t="shared" si="6"/>
        <v>0</v>
      </c>
      <c r="P22" s="67">
        <f t="shared" si="6"/>
        <v>0</v>
      </c>
      <c r="Q22" s="67">
        <f t="shared" si="6"/>
        <v>0</v>
      </c>
      <c r="R22" s="67">
        <f t="shared" si="6"/>
        <v>0</v>
      </c>
      <c r="S22" s="67">
        <f t="shared" si="6"/>
        <v>0</v>
      </c>
      <c r="T22" s="67">
        <f t="shared" si="6"/>
        <v>0</v>
      </c>
      <c r="U22" s="67">
        <f t="shared" si="6"/>
        <v>0</v>
      </c>
      <c r="V22" s="67">
        <f t="shared" si="6"/>
        <v>0</v>
      </c>
      <c r="W22" s="67">
        <f t="shared" si="6"/>
        <v>0</v>
      </c>
      <c r="X22" s="67">
        <f t="shared" si="6"/>
        <v>0</v>
      </c>
      <c r="Y22" s="67">
        <f t="shared" si="6"/>
        <v>0</v>
      </c>
      <c r="Z22" s="67">
        <f t="shared" si="6"/>
        <v>0</v>
      </c>
      <c r="AA22" s="67">
        <f t="shared" si="6"/>
        <v>0</v>
      </c>
      <c r="AB22" s="67">
        <f t="shared" si="6"/>
        <v>0</v>
      </c>
      <c r="AC22" s="67">
        <f t="shared" si="6"/>
        <v>0</v>
      </c>
      <c r="AD22" s="67">
        <f t="shared" si="6"/>
        <v>0</v>
      </c>
      <c r="AE22" s="67">
        <f t="shared" si="6"/>
        <v>0</v>
      </c>
      <c r="AF22" s="67">
        <f t="shared" si="6"/>
        <v>0</v>
      </c>
      <c r="AG22" s="67">
        <f t="shared" si="6"/>
        <v>0</v>
      </c>
      <c r="AH22" s="67">
        <f t="shared" si="6"/>
        <v>0</v>
      </c>
      <c r="AI22" s="67"/>
      <c r="AJ22" s="67"/>
      <c r="AK22" s="67"/>
      <c r="AL22" s="67"/>
      <c r="AM22" s="67"/>
      <c r="AN22" s="67"/>
    </row>
    <row r="23" spans="1:40" s="189" customFormat="1" ht="12.75" customHeight="1">
      <c r="A23" s="197" t="s">
        <v>123</v>
      </c>
      <c r="B23" s="613"/>
      <c r="C23" s="613"/>
      <c r="D23" s="62"/>
      <c r="E23" s="40">
        <f>Financiamento!E13</f>
        <v>0</v>
      </c>
      <c r="F23" s="40">
        <f>Financiamento!F13</f>
        <v>0</v>
      </c>
      <c r="G23" s="40">
        <f>Financiamento!G13</f>
        <v>0</v>
      </c>
      <c r="H23" s="40">
        <f>Financiamento!H13</f>
        <v>0</v>
      </c>
      <c r="I23" s="40">
        <f>Financiamento!I13</f>
        <v>0</v>
      </c>
      <c r="J23" s="40">
        <f>Financiamento!J13</f>
        <v>0</v>
      </c>
      <c r="K23" s="40">
        <f>Financiamento!K13</f>
        <v>0</v>
      </c>
      <c r="L23" s="40">
        <f>Financiamento!L13</f>
        <v>0</v>
      </c>
      <c r="M23" s="40">
        <f>Financiamento!M13</f>
        <v>0</v>
      </c>
      <c r="N23" s="40">
        <f>Financiamento!N13</f>
        <v>0</v>
      </c>
      <c r="O23" s="40">
        <f>Financiamento!O13</f>
        <v>0</v>
      </c>
      <c r="P23" s="40">
        <f>Financiamento!P13</f>
        <v>0</v>
      </c>
      <c r="Q23" s="40">
        <f>Financiamento!Q13</f>
        <v>0</v>
      </c>
      <c r="R23" s="40">
        <f>Financiamento!R13</f>
        <v>0</v>
      </c>
      <c r="S23" s="40">
        <f>Financiamento!S13</f>
        <v>0</v>
      </c>
      <c r="T23" s="40">
        <f>Financiamento!T13</f>
        <v>0</v>
      </c>
      <c r="U23" s="40">
        <f>Financiamento!U13</f>
        <v>0</v>
      </c>
      <c r="V23" s="40">
        <f>Financiamento!V13</f>
        <v>0</v>
      </c>
      <c r="W23" s="40">
        <f>Financiamento!W13</f>
        <v>0</v>
      </c>
      <c r="X23" s="40">
        <f>Financiamento!X13</f>
        <v>0</v>
      </c>
      <c r="Y23" s="40">
        <f>Financiamento!Y13</f>
        <v>0</v>
      </c>
      <c r="Z23" s="40">
        <f>Financiamento!Z13</f>
        <v>0</v>
      </c>
      <c r="AA23" s="40">
        <f>Financiamento!AA13</f>
        <v>0</v>
      </c>
      <c r="AB23" s="40">
        <f>Financiamento!AB13</f>
        <v>0</v>
      </c>
      <c r="AC23" s="40">
        <f>Financiamento!AC13</f>
        <v>0</v>
      </c>
      <c r="AD23" s="40">
        <f>Financiamento!AD13</f>
        <v>0</v>
      </c>
      <c r="AE23" s="40">
        <f>Financiamento!AE13</f>
        <v>0</v>
      </c>
      <c r="AF23" s="40">
        <f>Financiamento!AF13</f>
        <v>0</v>
      </c>
      <c r="AG23" s="40">
        <f>Financiamento!AG13</f>
        <v>0</v>
      </c>
      <c r="AH23" s="40">
        <f>Financiamento!AH13</f>
        <v>0</v>
      </c>
      <c r="AI23" s="613"/>
      <c r="AJ23" s="613"/>
      <c r="AK23" s="613"/>
      <c r="AL23" s="613"/>
      <c r="AM23" s="613"/>
      <c r="AN23" s="613"/>
    </row>
    <row r="24" spans="1:40" s="189" customFormat="1" ht="12.75" customHeight="1">
      <c r="A24" s="197" t="s">
        <v>124</v>
      </c>
      <c r="B24" s="613"/>
      <c r="C24" s="613"/>
      <c r="D24" s="62"/>
      <c r="E24" s="40">
        <f>Financiamento!E15</f>
        <v>0</v>
      </c>
      <c r="F24" s="40">
        <f>Financiamento!F15</f>
        <v>0</v>
      </c>
      <c r="G24" s="40">
        <f>Financiamento!G15</f>
        <v>0</v>
      </c>
      <c r="H24" s="40">
        <f>Financiamento!H15</f>
        <v>0</v>
      </c>
      <c r="I24" s="40">
        <f>Financiamento!I15</f>
        <v>0</v>
      </c>
      <c r="J24" s="40">
        <f>Financiamento!J15</f>
        <v>0</v>
      </c>
      <c r="K24" s="40">
        <f>Financiamento!K15</f>
        <v>0</v>
      </c>
      <c r="L24" s="40">
        <f>Financiamento!L15</f>
        <v>0</v>
      </c>
      <c r="M24" s="40">
        <f>Financiamento!M15</f>
        <v>0</v>
      </c>
      <c r="N24" s="40">
        <f>Financiamento!N15</f>
        <v>0</v>
      </c>
      <c r="O24" s="40">
        <f>Financiamento!O15</f>
        <v>0</v>
      </c>
      <c r="P24" s="40">
        <f>Financiamento!P15</f>
        <v>0</v>
      </c>
      <c r="Q24" s="40">
        <f>Financiamento!Q15</f>
        <v>0</v>
      </c>
      <c r="R24" s="40">
        <f>Financiamento!R15</f>
        <v>0</v>
      </c>
      <c r="S24" s="40">
        <f>Financiamento!S15</f>
        <v>0</v>
      </c>
      <c r="T24" s="40">
        <f>Financiamento!T15</f>
        <v>0</v>
      </c>
      <c r="U24" s="40">
        <f>Financiamento!U15</f>
        <v>0</v>
      </c>
      <c r="V24" s="40">
        <f>Financiamento!V15</f>
        <v>0</v>
      </c>
      <c r="W24" s="40">
        <f>Financiamento!W15</f>
        <v>0</v>
      </c>
      <c r="X24" s="40">
        <f>Financiamento!X15</f>
        <v>0</v>
      </c>
      <c r="Y24" s="40">
        <f>Financiamento!Y15</f>
        <v>0</v>
      </c>
      <c r="Z24" s="40">
        <f>Financiamento!Z15</f>
        <v>0</v>
      </c>
      <c r="AA24" s="40">
        <f>Financiamento!AA15</f>
        <v>0</v>
      </c>
      <c r="AB24" s="40">
        <f>Financiamento!AB15</f>
        <v>0</v>
      </c>
      <c r="AC24" s="40">
        <f>Financiamento!AC15</f>
        <v>0</v>
      </c>
      <c r="AD24" s="40">
        <f>Financiamento!AD15</f>
        <v>0</v>
      </c>
      <c r="AE24" s="40">
        <f>Financiamento!AE15</f>
        <v>0</v>
      </c>
      <c r="AF24" s="40">
        <f>Financiamento!AF15</f>
        <v>0</v>
      </c>
      <c r="AG24" s="40">
        <f>Financiamento!AG15</f>
        <v>0</v>
      </c>
      <c r="AH24" s="40">
        <f>Financiamento!AH15</f>
        <v>0</v>
      </c>
      <c r="AI24" s="613"/>
      <c r="AJ24" s="613"/>
      <c r="AK24" s="613"/>
      <c r="AL24" s="613"/>
      <c r="AM24" s="613"/>
      <c r="AN24" s="613"/>
    </row>
    <row r="25" spans="1:40" s="189" customFormat="1" ht="12.75" customHeight="1">
      <c r="A25" s="197" t="s">
        <v>125</v>
      </c>
      <c r="B25" s="613"/>
      <c r="C25" s="613"/>
      <c r="D25" s="62"/>
      <c r="E25" s="40">
        <f>DRE!E40</f>
        <v>0</v>
      </c>
      <c r="F25" s="40">
        <f>DRE!F40</f>
        <v>0</v>
      </c>
      <c r="G25" s="40">
        <f>DRE!G40</f>
        <v>0</v>
      </c>
      <c r="H25" s="40">
        <f>DRE!H40</f>
        <v>0</v>
      </c>
      <c r="I25" s="40">
        <f>DRE!I40</f>
        <v>0</v>
      </c>
      <c r="J25" s="40">
        <f>DRE!J40</f>
        <v>0</v>
      </c>
      <c r="K25" s="40">
        <f>DRE!K40</f>
        <v>0</v>
      </c>
      <c r="L25" s="40">
        <f>DRE!L40</f>
        <v>0</v>
      </c>
      <c r="M25" s="40">
        <f>DRE!M40</f>
        <v>0</v>
      </c>
      <c r="N25" s="40">
        <f>DRE!N40</f>
        <v>0</v>
      </c>
      <c r="O25" s="40">
        <f>DRE!O40</f>
        <v>0</v>
      </c>
      <c r="P25" s="40">
        <f>DRE!P40</f>
        <v>0</v>
      </c>
      <c r="Q25" s="40">
        <f>DRE!Q40</f>
        <v>0</v>
      </c>
      <c r="R25" s="40">
        <f>DRE!R40</f>
        <v>0</v>
      </c>
      <c r="S25" s="40">
        <f>DRE!S40</f>
        <v>0</v>
      </c>
      <c r="T25" s="40">
        <f>DRE!T40</f>
        <v>0</v>
      </c>
      <c r="U25" s="40">
        <f>DRE!U40</f>
        <v>0</v>
      </c>
      <c r="V25" s="40">
        <f>DRE!V40</f>
        <v>0</v>
      </c>
      <c r="W25" s="40">
        <f>DRE!W40</f>
        <v>0</v>
      </c>
      <c r="X25" s="40">
        <f>DRE!X40</f>
        <v>0</v>
      </c>
      <c r="Y25" s="40">
        <f>DRE!Y40</f>
        <v>0</v>
      </c>
      <c r="Z25" s="40">
        <f>DRE!Z40</f>
        <v>0</v>
      </c>
      <c r="AA25" s="40">
        <f>DRE!AA40</f>
        <v>0</v>
      </c>
      <c r="AB25" s="40">
        <f>DRE!AB40</f>
        <v>0</v>
      </c>
      <c r="AC25" s="40">
        <f>DRE!AC40</f>
        <v>0</v>
      </c>
      <c r="AD25" s="40">
        <f>DRE!AD40</f>
        <v>0</v>
      </c>
      <c r="AE25" s="40">
        <f>DRE!AE40</f>
        <v>0</v>
      </c>
      <c r="AF25" s="40">
        <f>DRE!AF40</f>
        <v>0</v>
      </c>
      <c r="AG25" s="40">
        <f>DRE!AG40</f>
        <v>0</v>
      </c>
      <c r="AH25" s="40">
        <f>DRE!AH40</f>
        <v>0</v>
      </c>
      <c r="AI25" s="613"/>
      <c r="AJ25" s="613"/>
      <c r="AK25" s="613"/>
      <c r="AL25" s="613"/>
      <c r="AM25" s="613"/>
      <c r="AN25" s="613"/>
    </row>
    <row r="26" spans="1:40" s="189" customFormat="1" ht="12.75" customHeight="1">
      <c r="A26" s="197" t="s">
        <v>126</v>
      </c>
      <c r="B26" s="613"/>
      <c r="C26" s="613"/>
      <c r="D26" s="62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613"/>
      <c r="AJ26" s="613"/>
      <c r="AK26" s="613"/>
      <c r="AL26" s="613"/>
      <c r="AM26" s="613"/>
      <c r="AN26" s="613"/>
    </row>
    <row r="27" spans="1:40" s="189" customFormat="1" ht="12.75" customHeight="1">
      <c r="A27" s="613"/>
      <c r="B27" s="613"/>
      <c r="C27" s="613"/>
      <c r="D27" s="62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</row>
    <row r="28" spans="1:40" s="189" customFormat="1" ht="12.75" customHeight="1">
      <c r="A28" s="198" t="s">
        <v>127</v>
      </c>
      <c r="B28" s="198"/>
      <c r="C28" s="198"/>
      <c r="D28" s="198"/>
      <c r="E28" s="67">
        <f>E17+E22</f>
        <v>-26790.015407869527</v>
      </c>
      <c r="F28" s="67">
        <f t="shared" ref="F28:AN28" si="7">F17+F22</f>
        <v>-2492.8462440932408</v>
      </c>
      <c r="G28" s="67">
        <f t="shared" si="7"/>
        <v>3765.4095675496674</v>
      </c>
      <c r="H28" s="67">
        <f t="shared" si="7"/>
        <v>3791.4691434138304</v>
      </c>
      <c r="I28" s="67">
        <f t="shared" si="7"/>
        <v>3541.6173218359318</v>
      </c>
      <c r="J28" s="67">
        <f t="shared" si="7"/>
        <v>3843.8544040646693</v>
      </c>
      <c r="K28" s="67">
        <f t="shared" si="7"/>
        <v>3870.1806923729864</v>
      </c>
      <c r="L28" s="67">
        <f t="shared" si="7"/>
        <v>3896.5964900615481</v>
      </c>
      <c r="M28" s="67">
        <f t="shared" si="7"/>
        <v>3923.102101462252</v>
      </c>
      <c r="N28" s="67">
        <f t="shared" si="7"/>
        <v>1527.8517679417164</v>
      </c>
      <c r="O28" s="67">
        <f t="shared" si="7"/>
        <v>3976.3839879048146</v>
      </c>
      <c r="P28" s="67">
        <f t="shared" si="7"/>
        <v>4003.1608767981861</v>
      </c>
      <c r="Q28" s="67">
        <f t="shared" si="7"/>
        <v>4030.0288071137957</v>
      </c>
      <c r="R28" s="67">
        <f t="shared" si="7"/>
        <v>4056.9880883924789</v>
      </c>
      <c r="S28" s="67">
        <f t="shared" si="7"/>
        <v>3808.0390312275058</v>
      </c>
      <c r="T28" s="67">
        <f t="shared" si="7"/>
        <v>4111.1819472681736</v>
      </c>
      <c r="U28" s="67">
        <f t="shared" si="7"/>
        <v>4138.4171492233809</v>
      </c>
      <c r="V28" s="67">
        <f t="shared" si="7"/>
        <v>4165.744950865238</v>
      </c>
      <c r="W28" s="67">
        <f t="shared" si="7"/>
        <v>4193.1656670326747</v>
      </c>
      <c r="X28" s="67">
        <f t="shared" si="7"/>
        <v>1798.8335496350755</v>
      </c>
      <c r="Y28" s="67">
        <f t="shared" si="7"/>
        <v>4248.2871076559322</v>
      </c>
      <c r="Z28" s="67">
        <f t="shared" si="7"/>
        <v>4275.9884671564587</v>
      </c>
      <c r="AA28" s="67">
        <f t="shared" si="7"/>
        <v>4303.7840112792846</v>
      </c>
      <c r="AB28" s="67">
        <f t="shared" si="7"/>
        <v>4331.6740602521304</v>
      </c>
      <c r="AC28" s="67">
        <f t="shared" si="7"/>
        <v>4083.6589353914796</v>
      </c>
      <c r="AD28" s="67">
        <f t="shared" si="7"/>
        <v>4387.7389591063084</v>
      </c>
      <c r="AE28" s="67">
        <f t="shared" si="7"/>
        <v>4415.9144549017628</v>
      </c>
      <c r="AF28" s="67">
        <f t="shared" si="7"/>
        <v>4444.1857473829232</v>
      </c>
      <c r="AG28" s="67">
        <f t="shared" si="7"/>
        <v>4472.5531622585177</v>
      </c>
      <c r="AH28" s="67">
        <f t="shared" si="7"/>
        <v>2079.1709623446932</v>
      </c>
      <c r="AI28" s="67">
        <f t="shared" si="7"/>
        <v>0</v>
      </c>
      <c r="AJ28" s="67">
        <f t="shared" si="7"/>
        <v>0</v>
      </c>
      <c r="AK28" s="67">
        <f t="shared" si="7"/>
        <v>0</v>
      </c>
      <c r="AL28" s="67">
        <f t="shared" si="7"/>
        <v>0</v>
      </c>
      <c r="AM28" s="67">
        <f t="shared" si="7"/>
        <v>0</v>
      </c>
      <c r="AN28" s="67">
        <f t="shared" si="7"/>
        <v>0</v>
      </c>
    </row>
    <row r="29" spans="1:40" ht="13.5" customHeight="1">
      <c r="A29" s="63" t="s">
        <v>119</v>
      </c>
      <c r="B29" s="57"/>
      <c r="C29" s="56"/>
      <c r="D29" s="62"/>
      <c r="E29" s="40">
        <f>E28</f>
        <v>-26790.015407869527</v>
      </c>
      <c r="F29" s="40">
        <f t="shared" ref="F29:AN29" si="8">E29+F28</f>
        <v>-29282.861651962769</v>
      </c>
      <c r="G29" s="40">
        <f t="shared" si="8"/>
        <v>-25517.4520844131</v>
      </c>
      <c r="H29" s="40">
        <f t="shared" si="8"/>
        <v>-21725.982940999271</v>
      </c>
      <c r="I29" s="40">
        <f t="shared" si="8"/>
        <v>-18184.365619163338</v>
      </c>
      <c r="J29" s="40">
        <f t="shared" si="8"/>
        <v>-14340.511215098668</v>
      </c>
      <c r="K29" s="40">
        <f t="shared" si="8"/>
        <v>-10470.330522725682</v>
      </c>
      <c r="L29" s="40">
        <f t="shared" si="8"/>
        <v>-6573.7340326641342</v>
      </c>
      <c r="M29" s="40">
        <f t="shared" si="8"/>
        <v>-2650.6319312018823</v>
      </c>
      <c r="N29" s="40">
        <f t="shared" si="8"/>
        <v>-1122.7801632601659</v>
      </c>
      <c r="O29" s="40">
        <f t="shared" si="8"/>
        <v>2853.6038246446487</v>
      </c>
      <c r="P29" s="40">
        <f t="shared" si="8"/>
        <v>6856.7647014428348</v>
      </c>
      <c r="Q29" s="40">
        <f t="shared" si="8"/>
        <v>10886.793508556631</v>
      </c>
      <c r="R29" s="40">
        <f t="shared" si="8"/>
        <v>14943.781596949109</v>
      </c>
      <c r="S29" s="40">
        <f t="shared" si="8"/>
        <v>18751.820628176614</v>
      </c>
      <c r="T29" s="40">
        <f t="shared" si="8"/>
        <v>22863.002575444789</v>
      </c>
      <c r="U29" s="40">
        <f t="shared" si="8"/>
        <v>27001.419724668169</v>
      </c>
      <c r="V29" s="40">
        <f t="shared" si="8"/>
        <v>31167.164675533408</v>
      </c>
      <c r="W29" s="40">
        <f t="shared" si="8"/>
        <v>35360.330342566085</v>
      </c>
      <c r="X29" s="40">
        <f t="shared" si="8"/>
        <v>37159.163892201163</v>
      </c>
      <c r="Y29" s="40">
        <f t="shared" si="8"/>
        <v>41407.450999857094</v>
      </c>
      <c r="Z29" s="40">
        <f t="shared" si="8"/>
        <v>45683.439467013552</v>
      </c>
      <c r="AA29" s="40">
        <f t="shared" si="8"/>
        <v>49987.223478292835</v>
      </c>
      <c r="AB29" s="40">
        <f t="shared" si="8"/>
        <v>54318.897538544967</v>
      </c>
      <c r="AC29" s="40">
        <f t="shared" si="8"/>
        <v>58402.556473936449</v>
      </c>
      <c r="AD29" s="40">
        <f t="shared" si="8"/>
        <v>62790.29543304276</v>
      </c>
      <c r="AE29" s="40">
        <f t="shared" si="8"/>
        <v>67206.209887944526</v>
      </c>
      <c r="AF29" s="40">
        <f t="shared" si="8"/>
        <v>71650.395635327455</v>
      </c>
      <c r="AG29" s="40">
        <f t="shared" si="8"/>
        <v>76122.948797585967</v>
      </c>
      <c r="AH29" s="40">
        <f t="shared" si="8"/>
        <v>78202.119759930662</v>
      </c>
      <c r="AI29" s="40">
        <f t="shared" si="8"/>
        <v>78202.119759930662</v>
      </c>
      <c r="AJ29" s="40">
        <f t="shared" si="8"/>
        <v>78202.119759930662</v>
      </c>
      <c r="AK29" s="40">
        <f t="shared" si="8"/>
        <v>78202.119759930662</v>
      </c>
      <c r="AL29" s="40">
        <f t="shared" si="8"/>
        <v>78202.119759930662</v>
      </c>
      <c r="AM29" s="40">
        <f t="shared" si="8"/>
        <v>78202.119759930662</v>
      </c>
      <c r="AN29" s="40">
        <f t="shared" si="8"/>
        <v>78202.119759930662</v>
      </c>
    </row>
    <row r="30" spans="1:40" ht="13.5" customHeight="1">
      <c r="A30" s="63" t="s">
        <v>120</v>
      </c>
      <c r="B30" s="57"/>
      <c r="C30" s="56"/>
      <c r="D30" s="62"/>
      <c r="E30" s="40">
        <f>E28/(1+Painel!$G$3)^E$2</f>
        <v>-24133.076493203473</v>
      </c>
      <c r="F30" s="40">
        <f>E30+F28/(1+Painel!$G$3)^F$2</f>
        <v>-26155.978963201036</v>
      </c>
      <c r="G30" s="40">
        <f>F30+G28/(1+Painel!$G$3)^G$2</f>
        <v>-23403.453153194696</v>
      </c>
      <c r="H30" s="40">
        <f>G30+H28/(1+Painel!$G$3)^H$2</f>
        <v>-20906.752757280145</v>
      </c>
      <c r="I30" s="40">
        <f>H30+I28/(1+Painel!$G$3)^I$2</f>
        <v>-18805.877513755342</v>
      </c>
      <c r="J30" s="40">
        <f>I30+J28/(1+Painel!$G$3)^J$2</f>
        <v>-16751.854592420241</v>
      </c>
      <c r="K30" s="40">
        <f>J30+K28/(1+Painel!$G$3)^K$2</f>
        <v>-14888.869736930692</v>
      </c>
      <c r="L30" s="40">
        <f>K30+L28/(1+Painel!$G$3)^L$2</f>
        <v>-13199.194483581185</v>
      </c>
      <c r="M30" s="40">
        <f>L30+M28/(1+Painel!$G$3)^M$2</f>
        <v>-11666.741547019097</v>
      </c>
      <c r="N30" s="40">
        <f>M30+N28/(1+Painel!$G$3)^N$2</f>
        <v>-11129.117752537557</v>
      </c>
      <c r="O30" s="40">
        <f>N30+O28/(1+Painel!$G$3)^O$2</f>
        <v>-9868.668679949973</v>
      </c>
      <c r="P30" s="40">
        <f>O30+P28/(1+Painel!$G$3)^P$2</f>
        <v>-8725.5804408397344</v>
      </c>
      <c r="Q30" s="40">
        <f>P30+Q28/(1+Painel!$G$3)^Q$2</f>
        <v>-7688.9484924398585</v>
      </c>
      <c r="R30" s="40">
        <f>Q30+R28/(1+Painel!$G$3)^R$2</f>
        <v>-6748.8791330374306</v>
      </c>
      <c r="S30" s="40">
        <f>R30+S28/(1+Painel!$G$3)^S$2</f>
        <v>-5954.0069806735501</v>
      </c>
      <c r="T30" s="40">
        <f>S30+T28/(1+Painel!$G$3)^T$2</f>
        <v>-5180.9663609072977</v>
      </c>
      <c r="U30" s="40">
        <f>T30+U28/(1+Painel!$G$3)^U$2</f>
        <v>-4479.9799350385611</v>
      </c>
      <c r="V30" s="40">
        <f>U30+V28/(1+Painel!$G$3)^V$2</f>
        <v>-3844.345018402747</v>
      </c>
      <c r="W30" s="40">
        <f>V30+W28/(1+Painel!$G$3)^W$2</f>
        <v>-3267.9810585353566</v>
      </c>
      <c r="X30" s="40">
        <f>W30+X28/(1+Painel!$G$3)^X$2</f>
        <v>-3045.2475797211719</v>
      </c>
      <c r="Y30" s="40">
        <f>X30+Y28/(1+Painel!$G$3)^Y$2</f>
        <v>-2571.3896998754021</v>
      </c>
      <c r="Z30" s="40">
        <f>Y30+Z28/(1+Painel!$G$3)^Z$2</f>
        <v>-2141.7439711328007</v>
      </c>
      <c r="AA30" s="40">
        <f>Z30+AA28/(1+Painel!$G$3)^AA$2</f>
        <v>-1752.1931112346747</v>
      </c>
      <c r="AB30" s="40">
        <f>AA30+AB28/(1+Painel!$G$3)^AB$2</f>
        <v>-1399.0024628464751</v>
      </c>
      <c r="AC30" s="40">
        <f>AB30+AC28/(1+Painel!$G$3)^AC$2</f>
        <v>-1099.0567805889004</v>
      </c>
      <c r="AD30" s="40">
        <f>AC30+AD28/(1+Painel!$G$3)^AD$2</f>
        <v>-808.73898348656621</v>
      </c>
      <c r="AE30" s="40">
        <f>AD30+AE28/(1+Painel!$G$3)^AE$2</f>
        <v>-545.53451661139047</v>
      </c>
      <c r="AF30" s="40">
        <f>AE30+AF28/(1+Painel!$G$3)^AF$2</f>
        <v>-306.91578540268978</v>
      </c>
      <c r="AG30" s="40">
        <f>AF30+AG28/(1+Painel!$G$3)^AG$2</f>
        <v>-90.590359517807769</v>
      </c>
      <c r="AH30" s="40">
        <f>AG30+AH28/(1+Painel!$G$3)^AH$2</f>
        <v>6.8573058342735749E-10</v>
      </c>
      <c r="AI30" s="40">
        <f>AH30+AI28/(1+Painel!$G$3)^AI$2</f>
        <v>6.8573058342735749E-10</v>
      </c>
      <c r="AJ30" s="40">
        <f>AI30+AJ28/(1+Painel!$G$3)^AJ$2</f>
        <v>6.8573058342735749E-10</v>
      </c>
      <c r="AK30" s="40">
        <f>AJ30+AK28/(1+Painel!$G$3)^AK$2</f>
        <v>6.8573058342735749E-10</v>
      </c>
      <c r="AL30" s="40">
        <f>AK30+AL28/(1+Painel!$G$3)^AL$2</f>
        <v>6.8573058342735749E-10</v>
      </c>
      <c r="AM30" s="40">
        <f>AL30+AM28/(1+Painel!$G$3)^AM$2</f>
        <v>6.8573058342735749E-10</v>
      </c>
      <c r="AN30" s="40">
        <f>AM30+AN28/(1+Painel!$G$3)^AN$2</f>
        <v>6.8573058342735749E-10</v>
      </c>
    </row>
    <row r="31" spans="1:40" ht="13.5" customHeight="1">
      <c r="A31" s="63" t="s">
        <v>121</v>
      </c>
      <c r="B31" s="57"/>
      <c r="C31" s="56"/>
      <c r="D31" s="62"/>
      <c r="E31" s="70">
        <f t="shared" ref="E31:AN31" si="9">IF(AND(F30&gt;0,E30&lt;0),(E$1-$E$1)+(-E30/(-E30+F30)),0)</f>
        <v>0</v>
      </c>
      <c r="F31" s="70">
        <f t="shared" si="9"/>
        <v>0</v>
      </c>
      <c r="G31" s="70">
        <f t="shared" si="9"/>
        <v>0</v>
      </c>
      <c r="H31" s="70">
        <f t="shared" si="9"/>
        <v>0</v>
      </c>
      <c r="I31" s="70">
        <f t="shared" si="9"/>
        <v>0</v>
      </c>
      <c r="J31" s="70">
        <f t="shared" si="9"/>
        <v>0</v>
      </c>
      <c r="K31" s="70">
        <f t="shared" si="9"/>
        <v>0</v>
      </c>
      <c r="L31" s="70">
        <f t="shared" si="9"/>
        <v>0</v>
      </c>
      <c r="M31" s="70">
        <f t="shared" si="9"/>
        <v>0</v>
      </c>
      <c r="N31" s="70">
        <f t="shared" si="9"/>
        <v>0</v>
      </c>
      <c r="O31" s="70">
        <f t="shared" si="9"/>
        <v>0</v>
      </c>
      <c r="P31" s="70">
        <f t="shared" si="9"/>
        <v>0</v>
      </c>
      <c r="Q31" s="70">
        <f t="shared" si="9"/>
        <v>0</v>
      </c>
      <c r="R31" s="70">
        <f t="shared" si="9"/>
        <v>0</v>
      </c>
      <c r="S31" s="70">
        <f t="shared" si="9"/>
        <v>0</v>
      </c>
      <c r="T31" s="70">
        <f t="shared" si="9"/>
        <v>0</v>
      </c>
      <c r="U31" s="70">
        <f t="shared" si="9"/>
        <v>0</v>
      </c>
      <c r="V31" s="70">
        <f t="shared" si="9"/>
        <v>0</v>
      </c>
      <c r="W31" s="70">
        <f t="shared" si="9"/>
        <v>0</v>
      </c>
      <c r="X31" s="70">
        <f t="shared" si="9"/>
        <v>0</v>
      </c>
      <c r="Y31" s="70">
        <f t="shared" si="9"/>
        <v>0</v>
      </c>
      <c r="Z31" s="70">
        <f t="shared" si="9"/>
        <v>0</v>
      </c>
      <c r="AA31" s="70">
        <f t="shared" si="9"/>
        <v>0</v>
      </c>
      <c r="AB31" s="70">
        <f t="shared" si="9"/>
        <v>0</v>
      </c>
      <c r="AC31" s="70">
        <f t="shared" si="9"/>
        <v>0</v>
      </c>
      <c r="AD31" s="70">
        <f t="shared" si="9"/>
        <v>0</v>
      </c>
      <c r="AE31" s="70">
        <f t="shared" si="9"/>
        <v>0</v>
      </c>
      <c r="AF31" s="70">
        <f t="shared" si="9"/>
        <v>0</v>
      </c>
      <c r="AG31" s="70">
        <f t="shared" si="9"/>
        <v>28.999999999992429</v>
      </c>
      <c r="AH31" s="70">
        <f t="shared" si="9"/>
        <v>0</v>
      </c>
      <c r="AI31" s="70">
        <f t="shared" si="9"/>
        <v>0</v>
      </c>
      <c r="AJ31" s="70">
        <f t="shared" si="9"/>
        <v>0</v>
      </c>
      <c r="AK31" s="70">
        <f t="shared" si="9"/>
        <v>0</v>
      </c>
      <c r="AL31" s="70">
        <f t="shared" si="9"/>
        <v>0</v>
      </c>
      <c r="AM31" s="70">
        <f t="shared" si="9"/>
        <v>0</v>
      </c>
      <c r="AN31" s="70">
        <f t="shared" si="9"/>
        <v>0</v>
      </c>
    </row>
  </sheetData>
  <sheetProtection password="C643" sheet="1" objects="1" scenarios="1"/>
  <pageMargins left="0.511811024" right="0.511811024" top="0.78740157499999996" bottom="0.78740157499999996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"/>
  <sheetViews>
    <sheetView workbookViewId="0">
      <selection activeCell="E17" sqref="E17"/>
    </sheetView>
  </sheetViews>
  <sheetFormatPr defaultColWidth="8.7109375" defaultRowHeight="12.75"/>
  <cols>
    <col min="1" max="1" width="8.7109375" style="329"/>
    <col min="2" max="2" width="77.28515625" style="304" customWidth="1"/>
    <col min="3" max="3" width="13.5703125" style="305" customWidth="1"/>
    <col min="4" max="4" width="11.5703125" style="304" customWidth="1"/>
    <col min="5" max="5" width="13.5703125" style="304" customWidth="1"/>
    <col min="6" max="16384" width="8.7109375" style="304"/>
  </cols>
  <sheetData>
    <row r="1" spans="1:5" s="331" customFormat="1" ht="25.5">
      <c r="A1" s="329" t="s">
        <v>509</v>
      </c>
      <c r="B1" s="329" t="s">
        <v>510</v>
      </c>
      <c r="C1" s="330" t="s">
        <v>511</v>
      </c>
      <c r="D1" s="330" t="s">
        <v>512</v>
      </c>
      <c r="E1" s="330" t="s">
        <v>513</v>
      </c>
    </row>
    <row r="2" spans="1:5" ht="30" customHeight="1">
      <c r="A2" s="329">
        <v>4729</v>
      </c>
      <c r="B2" s="332" t="s">
        <v>514</v>
      </c>
      <c r="C2" s="305" t="s">
        <v>515</v>
      </c>
      <c r="D2" s="329" t="s">
        <v>516</v>
      </c>
      <c r="E2" s="329">
        <v>226.76</v>
      </c>
    </row>
    <row r="3" spans="1:5" ht="38.25">
      <c r="A3" s="329">
        <v>40517</v>
      </c>
      <c r="B3" s="332" t="s">
        <v>517</v>
      </c>
      <c r="C3" s="329" t="s">
        <v>518</v>
      </c>
      <c r="D3" s="329" t="s">
        <v>516</v>
      </c>
      <c r="E3" s="329">
        <v>42.76</v>
      </c>
    </row>
    <row r="4" spans="1:5" ht="25.5">
      <c r="A4" s="329">
        <v>10544</v>
      </c>
      <c r="B4" s="332" t="s">
        <v>519</v>
      </c>
      <c r="C4" s="305" t="s">
        <v>520</v>
      </c>
      <c r="D4" s="329" t="s">
        <v>521</v>
      </c>
      <c r="E4" s="329">
        <v>84.28</v>
      </c>
    </row>
    <row r="5" spans="1:5" ht="25.5">
      <c r="A5" s="329">
        <v>43360</v>
      </c>
      <c r="B5" s="332" t="s">
        <v>522</v>
      </c>
      <c r="C5" s="305" t="s">
        <v>515</v>
      </c>
      <c r="D5" s="329" t="s">
        <v>516</v>
      </c>
      <c r="E5" s="329">
        <v>620.39</v>
      </c>
    </row>
    <row r="6" spans="1:5">
      <c r="A6" s="329">
        <v>41933</v>
      </c>
      <c r="B6" s="332" t="s">
        <v>523</v>
      </c>
      <c r="C6" s="305" t="s">
        <v>520</v>
      </c>
      <c r="D6" s="329" t="s">
        <v>516</v>
      </c>
      <c r="E6" s="329">
        <v>373.75</v>
      </c>
    </row>
    <row r="7" spans="1:5" ht="25.5">
      <c r="A7" s="329">
        <v>43680</v>
      </c>
      <c r="B7" s="332" t="s">
        <v>524</v>
      </c>
      <c r="C7" s="305" t="s">
        <v>518</v>
      </c>
      <c r="D7" s="329" t="s">
        <v>516</v>
      </c>
      <c r="E7" s="329">
        <v>124.41</v>
      </c>
    </row>
    <row r="8" spans="1:5">
      <c r="A8" s="329">
        <v>40911</v>
      </c>
      <c r="B8" s="304" t="s">
        <v>525</v>
      </c>
      <c r="C8" s="305" t="s">
        <v>526</v>
      </c>
      <c r="D8" s="329" t="s">
        <v>516</v>
      </c>
      <c r="E8" s="333">
        <v>3360.31</v>
      </c>
    </row>
    <row r="9" spans="1:5">
      <c r="A9" s="329">
        <v>40816</v>
      </c>
      <c r="B9" s="304" t="s">
        <v>527</v>
      </c>
      <c r="C9" s="305" t="s">
        <v>526</v>
      </c>
      <c r="D9" s="329" t="s">
        <v>516</v>
      </c>
      <c r="E9" s="333">
        <v>21416.32</v>
      </c>
    </row>
    <row r="10" spans="1:5">
      <c r="A10" s="329">
        <v>40813</v>
      </c>
      <c r="B10" s="304" t="s">
        <v>528</v>
      </c>
      <c r="C10" s="305" t="s">
        <v>526</v>
      </c>
      <c r="D10" s="329" t="s">
        <v>516</v>
      </c>
      <c r="E10" s="333">
        <v>20637.3</v>
      </c>
    </row>
    <row r="11" spans="1:5">
      <c r="A11" s="329">
        <v>40818</v>
      </c>
      <c r="B11" s="304" t="s">
        <v>529</v>
      </c>
      <c r="C11" s="305" t="s">
        <v>526</v>
      </c>
      <c r="D11" s="329" t="s">
        <v>516</v>
      </c>
      <c r="E11" s="333">
        <v>5267.01</v>
      </c>
    </row>
    <row r="12" spans="1:5">
      <c r="A12" s="329">
        <v>41065</v>
      </c>
      <c r="B12" s="304" t="s">
        <v>530</v>
      </c>
      <c r="C12" s="305" t="s">
        <v>526</v>
      </c>
      <c r="D12" s="329" t="s">
        <v>516</v>
      </c>
      <c r="E12" s="333">
        <v>3360.31</v>
      </c>
    </row>
    <row r="13" spans="1:5">
      <c r="A13" s="329">
        <v>40820</v>
      </c>
      <c r="B13" s="304" t="s">
        <v>531</v>
      </c>
      <c r="C13" s="305" t="s">
        <v>526</v>
      </c>
      <c r="D13" s="329" t="s">
        <v>516</v>
      </c>
      <c r="E13" s="333">
        <v>6007.04</v>
      </c>
    </row>
    <row r="14" spans="1:5">
      <c r="A14" s="329">
        <v>40914</v>
      </c>
      <c r="B14" s="304" t="s">
        <v>532</v>
      </c>
      <c r="C14" s="305" t="s">
        <v>526</v>
      </c>
      <c r="D14" s="329" t="s">
        <v>516</v>
      </c>
      <c r="E14" s="333">
        <v>3360.31</v>
      </c>
    </row>
  </sheetData>
  <sheetProtection password="C643" sheet="1" objects="1" scenarios="1"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AR126"/>
  <sheetViews>
    <sheetView zoomScale="125" zoomScaleNormal="50" workbookViewId="0">
      <selection activeCell="G68" sqref="G68"/>
    </sheetView>
  </sheetViews>
  <sheetFormatPr defaultColWidth="10.7109375" defaultRowHeight="15"/>
  <cols>
    <col min="2" max="2" width="39.42578125" customWidth="1"/>
    <col min="3" max="3" width="28.28515625" customWidth="1"/>
    <col min="4" max="4" width="17.7109375" customWidth="1"/>
    <col min="5" max="5" width="15" bestFit="1" customWidth="1"/>
    <col min="37" max="37" width="10.7109375" style="533"/>
    <col min="38" max="38" width="0" style="571" hidden="1" customWidth="1"/>
    <col min="39" max="44" width="0" hidden="1" customWidth="1"/>
  </cols>
  <sheetData>
    <row r="2" spans="2:44" s="220" customFormat="1">
      <c r="B2" s="220" t="s">
        <v>533</v>
      </c>
    </row>
    <row r="3" spans="2:44">
      <c r="B3" s="222"/>
      <c r="C3" s="222"/>
      <c r="D3" s="222"/>
      <c r="E3" s="223"/>
      <c r="F3" s="223"/>
      <c r="G3" s="223"/>
      <c r="H3" s="224">
        <v>1</v>
      </c>
      <c r="I3" s="224">
        <f>H3+1</f>
        <v>2</v>
      </c>
      <c r="J3" s="224">
        <f t="shared" ref="J3:Y3" si="0">I3+1</f>
        <v>3</v>
      </c>
      <c r="K3" s="224">
        <f t="shared" si="0"/>
        <v>4</v>
      </c>
      <c r="L3" s="224">
        <f t="shared" si="0"/>
        <v>5</v>
      </c>
      <c r="M3" s="224">
        <f t="shared" si="0"/>
        <v>6</v>
      </c>
      <c r="N3" s="224">
        <f t="shared" si="0"/>
        <v>7</v>
      </c>
      <c r="O3" s="224">
        <f t="shared" si="0"/>
        <v>8</v>
      </c>
      <c r="P3" s="224">
        <f t="shared" si="0"/>
        <v>9</v>
      </c>
      <c r="Q3" s="224">
        <f t="shared" si="0"/>
        <v>10</v>
      </c>
      <c r="R3" s="224">
        <f t="shared" si="0"/>
        <v>11</v>
      </c>
      <c r="S3" s="224">
        <f t="shared" si="0"/>
        <v>12</v>
      </c>
      <c r="T3" s="224">
        <f t="shared" si="0"/>
        <v>13</v>
      </c>
      <c r="U3" s="224">
        <f t="shared" si="0"/>
        <v>14</v>
      </c>
      <c r="V3" s="224">
        <f t="shared" si="0"/>
        <v>15</v>
      </c>
      <c r="W3" s="224">
        <f t="shared" si="0"/>
        <v>16</v>
      </c>
      <c r="X3" s="224">
        <f t="shared" si="0"/>
        <v>17</v>
      </c>
      <c r="Y3" s="224">
        <f t="shared" si="0"/>
        <v>18</v>
      </c>
      <c r="Z3" s="224">
        <f t="shared" ref="Z3:AL4" si="1">Y3+1</f>
        <v>19</v>
      </c>
      <c r="AA3" s="224">
        <f t="shared" si="1"/>
        <v>20</v>
      </c>
      <c r="AB3" s="224">
        <f t="shared" si="1"/>
        <v>21</v>
      </c>
      <c r="AC3" s="224">
        <f t="shared" si="1"/>
        <v>22</v>
      </c>
      <c r="AD3" s="224">
        <f t="shared" si="1"/>
        <v>23</v>
      </c>
      <c r="AE3" s="224">
        <f t="shared" si="1"/>
        <v>24</v>
      </c>
      <c r="AF3" s="224">
        <f t="shared" si="1"/>
        <v>25</v>
      </c>
      <c r="AG3" s="224">
        <f t="shared" si="1"/>
        <v>26</v>
      </c>
      <c r="AH3" s="224">
        <f t="shared" si="1"/>
        <v>27</v>
      </c>
      <c r="AI3" s="224">
        <f t="shared" si="1"/>
        <v>28</v>
      </c>
      <c r="AJ3" s="224">
        <f t="shared" si="1"/>
        <v>29</v>
      </c>
      <c r="AK3" s="523">
        <f t="shared" si="1"/>
        <v>30</v>
      </c>
      <c r="AL3" s="224">
        <f t="shared" si="1"/>
        <v>31</v>
      </c>
      <c r="AM3" s="224">
        <f t="shared" ref="AM3:AM4" si="2">AL3+1</f>
        <v>32</v>
      </c>
      <c r="AN3" s="224">
        <f t="shared" ref="AN3:AN4" si="3">AM3+1</f>
        <v>33</v>
      </c>
      <c r="AO3" s="224">
        <f t="shared" ref="AO3:AO4" si="4">AN3+1</f>
        <v>34</v>
      </c>
      <c r="AP3" s="224">
        <f t="shared" ref="AP3:AP4" si="5">AO3+1</f>
        <v>35</v>
      </c>
      <c r="AQ3" s="224">
        <f t="shared" ref="AQ3:AQ4" si="6">AP3+1</f>
        <v>36</v>
      </c>
      <c r="AR3" s="224">
        <f t="shared" ref="AR3:AR4" si="7">AQ3+1</f>
        <v>37</v>
      </c>
    </row>
    <row r="4" spans="2:44">
      <c r="B4" s="225" t="str">
        <f>B42</f>
        <v>Cenários</v>
      </c>
      <c r="C4" s="225"/>
      <c r="D4" s="225"/>
      <c r="E4" s="225">
        <v>2022</v>
      </c>
      <c r="F4" s="225">
        <v>2023</v>
      </c>
      <c r="G4" s="225">
        <v>2024</v>
      </c>
      <c r="H4" s="225">
        <f>G4+1</f>
        <v>2025</v>
      </c>
      <c r="I4" s="225">
        <f t="shared" ref="I4:AK4" si="8">H4+1</f>
        <v>2026</v>
      </c>
      <c r="J4" s="225">
        <f t="shared" si="8"/>
        <v>2027</v>
      </c>
      <c r="K4" s="225">
        <f t="shared" si="8"/>
        <v>2028</v>
      </c>
      <c r="L4" s="225">
        <f t="shared" si="8"/>
        <v>2029</v>
      </c>
      <c r="M4" s="225">
        <f t="shared" si="8"/>
        <v>2030</v>
      </c>
      <c r="N4" s="225">
        <f t="shared" si="8"/>
        <v>2031</v>
      </c>
      <c r="O4" s="225">
        <f t="shared" si="8"/>
        <v>2032</v>
      </c>
      <c r="P4" s="225">
        <f t="shared" si="8"/>
        <v>2033</v>
      </c>
      <c r="Q4" s="225">
        <f t="shared" si="8"/>
        <v>2034</v>
      </c>
      <c r="R4" s="225">
        <f t="shared" si="8"/>
        <v>2035</v>
      </c>
      <c r="S4" s="225">
        <f t="shared" si="8"/>
        <v>2036</v>
      </c>
      <c r="T4" s="225">
        <f t="shared" si="8"/>
        <v>2037</v>
      </c>
      <c r="U4" s="225">
        <f t="shared" si="8"/>
        <v>2038</v>
      </c>
      <c r="V4" s="225">
        <f t="shared" si="8"/>
        <v>2039</v>
      </c>
      <c r="W4" s="225">
        <f t="shared" si="8"/>
        <v>2040</v>
      </c>
      <c r="X4" s="225">
        <f t="shared" si="8"/>
        <v>2041</v>
      </c>
      <c r="Y4" s="225">
        <f t="shared" si="8"/>
        <v>2042</v>
      </c>
      <c r="Z4" s="225">
        <f t="shared" si="8"/>
        <v>2043</v>
      </c>
      <c r="AA4" s="225">
        <f t="shared" si="8"/>
        <v>2044</v>
      </c>
      <c r="AB4" s="225">
        <f t="shared" si="8"/>
        <v>2045</v>
      </c>
      <c r="AC4" s="225">
        <f t="shared" si="8"/>
        <v>2046</v>
      </c>
      <c r="AD4" s="225">
        <f t="shared" si="8"/>
        <v>2047</v>
      </c>
      <c r="AE4" s="225">
        <f t="shared" si="8"/>
        <v>2048</v>
      </c>
      <c r="AF4" s="225">
        <f t="shared" si="8"/>
        <v>2049</v>
      </c>
      <c r="AG4" s="225">
        <f t="shared" si="8"/>
        <v>2050</v>
      </c>
      <c r="AH4" s="225">
        <f t="shared" si="8"/>
        <v>2051</v>
      </c>
      <c r="AI4" s="225">
        <f t="shared" si="8"/>
        <v>2052</v>
      </c>
      <c r="AJ4" s="225">
        <f t="shared" si="8"/>
        <v>2053</v>
      </c>
      <c r="AK4" s="524">
        <f t="shared" si="8"/>
        <v>2054</v>
      </c>
      <c r="AL4" s="564">
        <f t="shared" si="1"/>
        <v>2055</v>
      </c>
      <c r="AM4" s="225">
        <f t="shared" si="2"/>
        <v>2056</v>
      </c>
      <c r="AN4" s="225">
        <f t="shared" si="3"/>
        <v>2057</v>
      </c>
      <c r="AO4" s="225">
        <f t="shared" si="4"/>
        <v>2058</v>
      </c>
      <c r="AP4" s="225">
        <f t="shared" si="5"/>
        <v>2059</v>
      </c>
      <c r="AQ4" s="225">
        <f t="shared" si="6"/>
        <v>2060</v>
      </c>
      <c r="AR4" s="225">
        <f t="shared" si="7"/>
        <v>2061</v>
      </c>
    </row>
    <row r="5" spans="2:44" ht="17.25" hidden="1">
      <c r="B5" s="226" t="s">
        <v>534</v>
      </c>
      <c r="C5" s="227"/>
      <c r="D5" s="227"/>
      <c r="E5" s="227"/>
      <c r="F5" s="227"/>
      <c r="G5" s="227"/>
      <c r="H5" s="228">
        <f>SUM(H6:H8)</f>
        <v>686744.62119991658</v>
      </c>
      <c r="I5" s="228">
        <f t="shared" ref="I5:AL5" si="9">SUM(I6:I8)</f>
        <v>687637.29086399626</v>
      </c>
      <c r="J5" s="228">
        <f t="shared" si="9"/>
        <v>688532.99560493394</v>
      </c>
      <c r="K5" s="228">
        <f t="shared" si="9"/>
        <v>689431.74574199063</v>
      </c>
      <c r="L5" s="228">
        <f t="shared" si="9"/>
        <v>690333.5516295135</v>
      </c>
      <c r="M5" s="228">
        <f t="shared" si="9"/>
        <v>691238.42365705385</v>
      </c>
      <c r="N5" s="228">
        <f t="shared" si="9"/>
        <v>692146.37224948779</v>
      </c>
      <c r="O5" s="228">
        <f t="shared" si="9"/>
        <v>693057.40786713618</v>
      </c>
      <c r="P5" s="228">
        <f t="shared" si="9"/>
        <v>693971.54100588441</v>
      </c>
      <c r="Q5" s="228">
        <f t="shared" si="9"/>
        <v>694888.78219730442</v>
      </c>
      <c r="R5" s="228">
        <f t="shared" si="9"/>
        <v>695809.14200877526</v>
      </c>
      <c r="S5" s="228">
        <f t="shared" si="9"/>
        <v>696732.63104360516</v>
      </c>
      <c r="T5" s="228">
        <f t="shared" si="9"/>
        <v>697659.25994115346</v>
      </c>
      <c r="U5" s="228">
        <f t="shared" si="9"/>
        <v>698589.03937695338</v>
      </c>
      <c r="V5" s="228">
        <f t="shared" si="9"/>
        <v>699521.98006283492</v>
      </c>
      <c r="W5" s="228">
        <f t="shared" si="9"/>
        <v>700458.09274704871</v>
      </c>
      <c r="X5" s="228">
        <f t="shared" si="9"/>
        <v>701397.38821438863</v>
      </c>
      <c r="Y5" s="228">
        <f t="shared" si="9"/>
        <v>702339.87728631753</v>
      </c>
      <c r="Z5" s="228">
        <f t="shared" si="9"/>
        <v>703285.57082109107</v>
      </c>
      <c r="AA5" s="228">
        <f t="shared" si="9"/>
        <v>704234.47971388279</v>
      </c>
      <c r="AB5" s="228">
        <f t="shared" si="9"/>
        <v>705186.61489691003</v>
      </c>
      <c r="AC5" s="228">
        <f t="shared" si="9"/>
        <v>706141.98733955959</v>
      </c>
      <c r="AD5" s="228">
        <f t="shared" si="9"/>
        <v>707100.608048514</v>
      </c>
      <c r="AE5" s="228">
        <f t="shared" si="9"/>
        <v>708062.48806787911</v>
      </c>
      <c r="AF5" s="228">
        <f t="shared" si="9"/>
        <v>709027.63847930986</v>
      </c>
      <c r="AG5" s="228">
        <f t="shared" si="9"/>
        <v>709996.07040213956</v>
      </c>
      <c r="AH5" s="228">
        <f t="shared" si="9"/>
        <v>710967.79499350674</v>
      </c>
      <c r="AI5" s="228">
        <f t="shared" si="9"/>
        <v>711942.82344848476</v>
      </c>
      <c r="AJ5" s="228">
        <f t="shared" si="9"/>
        <v>712921.16700020968</v>
      </c>
      <c r="AK5" s="525">
        <f t="shared" si="9"/>
        <v>713902.83692001039</v>
      </c>
      <c r="AL5" s="565">
        <f t="shared" si="9"/>
        <v>714887.84451753844</v>
      </c>
      <c r="AM5" s="228">
        <v>714887.84451753844</v>
      </c>
      <c r="AN5" s="228">
        <v>714887.84451753844</v>
      </c>
      <c r="AO5" s="228">
        <v>714887.84451753844</v>
      </c>
      <c r="AP5" s="228">
        <v>714887.84451753844</v>
      </c>
      <c r="AQ5" s="228">
        <v>714887.84451753844</v>
      </c>
      <c r="AR5" s="228">
        <v>714887.84451753844</v>
      </c>
    </row>
    <row r="6" spans="2:44" hidden="1">
      <c r="B6" s="229" t="s">
        <v>492</v>
      </c>
      <c r="C6" s="227"/>
      <c r="D6" s="227"/>
      <c r="E6" s="227"/>
      <c r="F6" s="227"/>
      <c r="G6" s="227"/>
      <c r="H6" s="230">
        <f>H43</f>
        <v>364800</v>
      </c>
      <c r="I6" s="230">
        <f t="shared" ref="I6:AL6" si="10">I43</f>
        <v>364800</v>
      </c>
      <c r="J6" s="230">
        <f t="shared" si="10"/>
        <v>364800</v>
      </c>
      <c r="K6" s="230">
        <f t="shared" si="10"/>
        <v>364800</v>
      </c>
      <c r="L6" s="230">
        <f t="shared" si="10"/>
        <v>364800</v>
      </c>
      <c r="M6" s="230">
        <f t="shared" si="10"/>
        <v>364800</v>
      </c>
      <c r="N6" s="230">
        <f t="shared" si="10"/>
        <v>364800</v>
      </c>
      <c r="O6" s="230">
        <f t="shared" si="10"/>
        <v>364800</v>
      </c>
      <c r="P6" s="230">
        <f t="shared" si="10"/>
        <v>364800</v>
      </c>
      <c r="Q6" s="230">
        <f t="shared" si="10"/>
        <v>364800</v>
      </c>
      <c r="R6" s="230">
        <f t="shared" si="10"/>
        <v>364800</v>
      </c>
      <c r="S6" s="230">
        <f t="shared" si="10"/>
        <v>364800</v>
      </c>
      <c r="T6" s="230">
        <f t="shared" si="10"/>
        <v>364800</v>
      </c>
      <c r="U6" s="230">
        <f t="shared" si="10"/>
        <v>364800</v>
      </c>
      <c r="V6" s="230">
        <f t="shared" si="10"/>
        <v>364800</v>
      </c>
      <c r="W6" s="230">
        <f t="shared" si="10"/>
        <v>364800</v>
      </c>
      <c r="X6" s="230">
        <f t="shared" si="10"/>
        <v>364800</v>
      </c>
      <c r="Y6" s="230">
        <f t="shared" si="10"/>
        <v>364800</v>
      </c>
      <c r="Z6" s="230">
        <f t="shared" si="10"/>
        <v>364800</v>
      </c>
      <c r="AA6" s="230">
        <f t="shared" si="10"/>
        <v>364800</v>
      </c>
      <c r="AB6" s="230">
        <f t="shared" si="10"/>
        <v>364800</v>
      </c>
      <c r="AC6" s="230">
        <f t="shared" si="10"/>
        <v>364800</v>
      </c>
      <c r="AD6" s="230">
        <f t="shared" si="10"/>
        <v>364800</v>
      </c>
      <c r="AE6" s="230">
        <f t="shared" si="10"/>
        <v>364800</v>
      </c>
      <c r="AF6" s="230">
        <f t="shared" si="10"/>
        <v>364800</v>
      </c>
      <c r="AG6" s="230">
        <f t="shared" si="10"/>
        <v>364800</v>
      </c>
      <c r="AH6" s="230">
        <f t="shared" si="10"/>
        <v>364800</v>
      </c>
      <c r="AI6" s="230">
        <f t="shared" si="10"/>
        <v>364800</v>
      </c>
      <c r="AJ6" s="230">
        <f t="shared" si="10"/>
        <v>364800</v>
      </c>
      <c r="AK6" s="526">
        <f t="shared" si="10"/>
        <v>364800</v>
      </c>
      <c r="AL6" s="566">
        <f t="shared" si="10"/>
        <v>364800</v>
      </c>
      <c r="AM6" s="230">
        <v>364800</v>
      </c>
      <c r="AN6" s="230">
        <v>364800</v>
      </c>
      <c r="AO6" s="230">
        <v>364800</v>
      </c>
      <c r="AP6" s="230">
        <v>364800</v>
      </c>
      <c r="AQ6" s="230">
        <v>364800</v>
      </c>
      <c r="AR6" s="230">
        <v>364800</v>
      </c>
    </row>
    <row r="7" spans="2:44" hidden="1">
      <c r="B7" s="229" t="s">
        <v>535</v>
      </c>
      <c r="C7" s="227"/>
      <c r="D7" s="227"/>
      <c r="E7" s="227"/>
      <c r="F7" s="303"/>
      <c r="G7" s="227"/>
      <c r="H7" s="230">
        <f>+H100</f>
        <v>262549.90119991661</v>
      </c>
      <c r="I7" s="230">
        <f t="shared" ref="I7:AL7" si="11">+I100</f>
        <v>263442.57086399628</v>
      </c>
      <c r="J7" s="230">
        <f t="shared" si="11"/>
        <v>264338.27560493391</v>
      </c>
      <c r="K7" s="230">
        <f t="shared" si="11"/>
        <v>265237.02574199071</v>
      </c>
      <c r="L7" s="230">
        <f t="shared" si="11"/>
        <v>266138.83162951347</v>
      </c>
      <c r="M7" s="230">
        <f t="shared" si="11"/>
        <v>267043.70365705388</v>
      </c>
      <c r="N7" s="230">
        <f t="shared" si="11"/>
        <v>267951.65224948787</v>
      </c>
      <c r="O7" s="230">
        <f t="shared" si="11"/>
        <v>268862.68786713615</v>
      </c>
      <c r="P7" s="230">
        <f t="shared" si="11"/>
        <v>269776.82100588444</v>
      </c>
      <c r="Q7" s="230">
        <f t="shared" si="11"/>
        <v>270694.06219730445</v>
      </c>
      <c r="R7" s="230">
        <f t="shared" si="11"/>
        <v>271614.42200877529</v>
      </c>
      <c r="S7" s="230">
        <f t="shared" si="11"/>
        <v>272537.91104360519</v>
      </c>
      <c r="T7" s="230">
        <f t="shared" si="11"/>
        <v>273464.53994115343</v>
      </c>
      <c r="U7" s="230">
        <f t="shared" si="11"/>
        <v>274394.31937695335</v>
      </c>
      <c r="V7" s="230">
        <f t="shared" si="11"/>
        <v>275327.260062835</v>
      </c>
      <c r="W7" s="230">
        <f t="shared" si="11"/>
        <v>276263.37274704868</v>
      </c>
      <c r="X7" s="230">
        <f t="shared" si="11"/>
        <v>277202.66821438866</v>
      </c>
      <c r="Y7" s="230">
        <f t="shared" si="11"/>
        <v>278145.15728631761</v>
      </c>
      <c r="Z7" s="230">
        <f t="shared" si="11"/>
        <v>279090.85082109115</v>
      </c>
      <c r="AA7" s="230">
        <f t="shared" si="11"/>
        <v>280039.75971388287</v>
      </c>
      <c r="AB7" s="230">
        <f t="shared" si="11"/>
        <v>280991.89489691012</v>
      </c>
      <c r="AC7" s="230">
        <f t="shared" si="11"/>
        <v>281947.26733955962</v>
      </c>
      <c r="AD7" s="230">
        <f t="shared" si="11"/>
        <v>282905.88804851408</v>
      </c>
      <c r="AE7" s="230">
        <f t="shared" si="11"/>
        <v>283867.76806787908</v>
      </c>
      <c r="AF7" s="230">
        <f t="shared" si="11"/>
        <v>284832.91847930988</v>
      </c>
      <c r="AG7" s="230">
        <f t="shared" si="11"/>
        <v>285801.35040213953</v>
      </c>
      <c r="AH7" s="230">
        <f t="shared" si="11"/>
        <v>286773.07499350683</v>
      </c>
      <c r="AI7" s="230">
        <f t="shared" si="11"/>
        <v>287748.10344848479</v>
      </c>
      <c r="AJ7" s="230">
        <f t="shared" si="11"/>
        <v>288726.44700020965</v>
      </c>
      <c r="AK7" s="526">
        <f t="shared" si="11"/>
        <v>289708.11692001036</v>
      </c>
      <c r="AL7" s="566">
        <f t="shared" si="11"/>
        <v>290693.12451753847</v>
      </c>
      <c r="AM7" s="230">
        <v>290693.12451753847</v>
      </c>
      <c r="AN7" s="230">
        <v>290693.12451753847</v>
      </c>
      <c r="AO7" s="230">
        <v>290693.12451753847</v>
      </c>
      <c r="AP7" s="230">
        <v>290693.12451753847</v>
      </c>
      <c r="AQ7" s="230">
        <v>290693.12451753847</v>
      </c>
      <c r="AR7" s="230">
        <v>290693.12451753847</v>
      </c>
    </row>
    <row r="8" spans="2:44" hidden="1">
      <c r="B8" s="229" t="s">
        <v>536</v>
      </c>
      <c r="C8" s="227"/>
      <c r="D8" s="227"/>
      <c r="E8" s="227"/>
      <c r="F8" s="227"/>
      <c r="G8" s="227"/>
      <c r="H8" s="230">
        <f>+H124</f>
        <v>59394.720000000001</v>
      </c>
      <c r="I8" s="230">
        <f t="shared" ref="I8:AL8" si="12">+I124</f>
        <v>59394.720000000001</v>
      </c>
      <c r="J8" s="230">
        <f t="shared" si="12"/>
        <v>59394.720000000001</v>
      </c>
      <c r="K8" s="230">
        <f t="shared" si="12"/>
        <v>59394.720000000001</v>
      </c>
      <c r="L8" s="230">
        <f t="shared" si="12"/>
        <v>59394.720000000001</v>
      </c>
      <c r="M8" s="230">
        <f t="shared" si="12"/>
        <v>59394.720000000001</v>
      </c>
      <c r="N8" s="230">
        <f t="shared" si="12"/>
        <v>59394.720000000001</v>
      </c>
      <c r="O8" s="230">
        <f t="shared" si="12"/>
        <v>59394.720000000001</v>
      </c>
      <c r="P8" s="230">
        <f t="shared" si="12"/>
        <v>59394.720000000001</v>
      </c>
      <c r="Q8" s="230">
        <f t="shared" si="12"/>
        <v>59394.720000000001</v>
      </c>
      <c r="R8" s="230">
        <f t="shared" si="12"/>
        <v>59394.720000000001</v>
      </c>
      <c r="S8" s="230">
        <f t="shared" si="12"/>
        <v>59394.720000000001</v>
      </c>
      <c r="T8" s="230">
        <f t="shared" si="12"/>
        <v>59394.720000000001</v>
      </c>
      <c r="U8" s="230">
        <f t="shared" si="12"/>
        <v>59394.720000000001</v>
      </c>
      <c r="V8" s="230">
        <f t="shared" si="12"/>
        <v>59394.720000000001</v>
      </c>
      <c r="W8" s="230">
        <f t="shared" si="12"/>
        <v>59394.720000000001</v>
      </c>
      <c r="X8" s="230">
        <f t="shared" si="12"/>
        <v>59394.720000000001</v>
      </c>
      <c r="Y8" s="230">
        <f t="shared" si="12"/>
        <v>59394.720000000001</v>
      </c>
      <c r="Z8" s="230">
        <f t="shared" si="12"/>
        <v>59394.720000000001</v>
      </c>
      <c r="AA8" s="230">
        <f t="shared" si="12"/>
        <v>59394.720000000001</v>
      </c>
      <c r="AB8" s="230">
        <f t="shared" si="12"/>
        <v>59394.720000000001</v>
      </c>
      <c r="AC8" s="230">
        <f t="shared" si="12"/>
        <v>59394.720000000001</v>
      </c>
      <c r="AD8" s="230">
        <f t="shared" si="12"/>
        <v>59394.720000000001</v>
      </c>
      <c r="AE8" s="230">
        <f t="shared" si="12"/>
        <v>59394.720000000001</v>
      </c>
      <c r="AF8" s="230">
        <f t="shared" si="12"/>
        <v>59394.720000000001</v>
      </c>
      <c r="AG8" s="230">
        <f t="shared" si="12"/>
        <v>59394.720000000001</v>
      </c>
      <c r="AH8" s="230">
        <f t="shared" si="12"/>
        <v>59394.720000000001</v>
      </c>
      <c r="AI8" s="230">
        <f t="shared" si="12"/>
        <v>59394.720000000001</v>
      </c>
      <c r="AJ8" s="230">
        <f t="shared" si="12"/>
        <v>59394.720000000001</v>
      </c>
      <c r="AK8" s="526">
        <f t="shared" si="12"/>
        <v>59394.720000000001</v>
      </c>
      <c r="AL8" s="566">
        <f t="shared" si="12"/>
        <v>59394.720000000001</v>
      </c>
      <c r="AM8" s="230">
        <v>59394.720000000001</v>
      </c>
      <c r="AN8" s="230">
        <v>59394.720000000001</v>
      </c>
      <c r="AO8" s="230">
        <v>59394.720000000001</v>
      </c>
      <c r="AP8" s="230">
        <v>59394.720000000001</v>
      </c>
      <c r="AQ8" s="230">
        <v>59394.720000000001</v>
      </c>
      <c r="AR8" s="230">
        <v>59394.720000000001</v>
      </c>
    </row>
    <row r="9" spans="2:44" hidden="1">
      <c r="B9" s="227"/>
      <c r="C9" s="227"/>
      <c r="D9" s="227"/>
      <c r="E9" s="227"/>
      <c r="F9" s="227"/>
      <c r="G9" s="227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527"/>
      <c r="AL9" s="567"/>
      <c r="AM9" s="221"/>
      <c r="AN9" s="221"/>
      <c r="AO9" s="221"/>
      <c r="AP9" s="221"/>
    </row>
    <row r="10" spans="2:44" ht="17.25">
      <c r="B10" s="227" t="s">
        <v>39</v>
      </c>
      <c r="C10" s="227"/>
      <c r="D10" s="227"/>
      <c r="E10" s="227"/>
      <c r="F10" s="227"/>
      <c r="G10" s="227"/>
      <c r="H10" s="228">
        <f>SUM(H11:H13)</f>
        <v>503781.0674666111</v>
      </c>
      <c r="I10" s="228">
        <f t="shared" ref="I10:AL10" si="13">SUM(I11:I13)</f>
        <v>504376.18057599751</v>
      </c>
      <c r="J10" s="228">
        <f t="shared" si="13"/>
        <v>504973.31706995593</v>
      </c>
      <c r="K10" s="228">
        <f t="shared" si="13"/>
        <v>505572.4838279938</v>
      </c>
      <c r="L10" s="228">
        <f t="shared" si="13"/>
        <v>506173.68775300897</v>
      </c>
      <c r="M10" s="228">
        <f t="shared" si="13"/>
        <v>506776.93577136926</v>
      </c>
      <c r="N10" s="228">
        <f t="shared" si="13"/>
        <v>507382.2348329919</v>
      </c>
      <c r="O10" s="228">
        <f t="shared" si="13"/>
        <v>507989.59191142413</v>
      </c>
      <c r="P10" s="228">
        <f t="shared" si="13"/>
        <v>508599.01400392299</v>
      </c>
      <c r="Q10" s="228">
        <f t="shared" si="13"/>
        <v>509210.50813153631</v>
      </c>
      <c r="R10" s="228">
        <f t="shared" si="13"/>
        <v>509824.08133918355</v>
      </c>
      <c r="S10" s="228">
        <f t="shared" si="13"/>
        <v>510439.74069573678</v>
      </c>
      <c r="T10" s="228">
        <f t="shared" si="13"/>
        <v>511057.49329410231</v>
      </c>
      <c r="U10" s="228">
        <f t="shared" si="13"/>
        <v>511677.34625130222</v>
      </c>
      <c r="V10" s="228">
        <f t="shared" si="13"/>
        <v>512299.30670855666</v>
      </c>
      <c r="W10" s="228">
        <f t="shared" si="13"/>
        <v>512923.38183136581</v>
      </c>
      <c r="X10" s="228">
        <f t="shared" si="13"/>
        <v>513549.57880959247</v>
      </c>
      <c r="Y10" s="228">
        <f t="shared" si="13"/>
        <v>514177.9048575451</v>
      </c>
      <c r="Z10" s="228">
        <f t="shared" si="13"/>
        <v>514808.3672140608</v>
      </c>
      <c r="AA10" s="228">
        <f t="shared" si="13"/>
        <v>515440.97314258857</v>
      </c>
      <c r="AB10" s="228">
        <f t="shared" si="13"/>
        <v>516075.72993127344</v>
      </c>
      <c r="AC10" s="228">
        <f t="shared" si="13"/>
        <v>516712.64489303977</v>
      </c>
      <c r="AD10" s="228">
        <f t="shared" si="13"/>
        <v>517351.72536567604</v>
      </c>
      <c r="AE10" s="228">
        <f t="shared" si="13"/>
        <v>517992.97871191939</v>
      </c>
      <c r="AF10" s="228">
        <f t="shared" si="13"/>
        <v>518636.41231953993</v>
      </c>
      <c r="AG10" s="228">
        <f t="shared" si="13"/>
        <v>519282.03360142634</v>
      </c>
      <c r="AH10" s="228">
        <f t="shared" si="13"/>
        <v>519929.84999567125</v>
      </c>
      <c r="AI10" s="228">
        <f t="shared" si="13"/>
        <v>520579.86896565655</v>
      </c>
      <c r="AJ10" s="228">
        <f t="shared" si="13"/>
        <v>521232.09800013975</v>
      </c>
      <c r="AK10" s="525">
        <f t="shared" si="13"/>
        <v>521886.54461334023</v>
      </c>
      <c r="AL10" s="565">
        <f t="shared" si="13"/>
        <v>522543.21634502563</v>
      </c>
      <c r="AM10" s="228">
        <v>714887.84451753844</v>
      </c>
      <c r="AN10" s="228">
        <v>714887.84451753844</v>
      </c>
      <c r="AO10" s="228">
        <v>714887.84451753844</v>
      </c>
      <c r="AP10" s="228">
        <v>714887.84451753844</v>
      </c>
      <c r="AQ10" s="228">
        <v>714887.84451753844</v>
      </c>
      <c r="AR10" s="228">
        <v>714887.84451753844</v>
      </c>
    </row>
    <row r="11" spans="2:44">
      <c r="B11" s="229" t="s">
        <v>492</v>
      </c>
      <c r="C11" s="227"/>
      <c r="D11" s="227"/>
      <c r="E11" s="302"/>
      <c r="F11" s="227"/>
      <c r="G11" s="227"/>
      <c r="H11" s="230">
        <f>H44</f>
        <v>304000</v>
      </c>
      <c r="I11" s="230">
        <f t="shared" ref="I11:AL11" si="14">I44</f>
        <v>304000</v>
      </c>
      <c r="J11" s="230">
        <f t="shared" si="14"/>
        <v>304000</v>
      </c>
      <c r="K11" s="230">
        <f t="shared" si="14"/>
        <v>304000</v>
      </c>
      <c r="L11" s="230">
        <f t="shared" si="14"/>
        <v>304000</v>
      </c>
      <c r="M11" s="230">
        <f t="shared" si="14"/>
        <v>304000</v>
      </c>
      <c r="N11" s="230">
        <f t="shared" si="14"/>
        <v>304000</v>
      </c>
      <c r="O11" s="230">
        <f t="shared" si="14"/>
        <v>304000</v>
      </c>
      <c r="P11" s="230">
        <f t="shared" si="14"/>
        <v>304000</v>
      </c>
      <c r="Q11" s="230">
        <f t="shared" si="14"/>
        <v>304000</v>
      </c>
      <c r="R11" s="230">
        <f t="shared" si="14"/>
        <v>304000</v>
      </c>
      <c r="S11" s="230">
        <f t="shared" si="14"/>
        <v>304000</v>
      </c>
      <c r="T11" s="230">
        <f t="shared" si="14"/>
        <v>304000</v>
      </c>
      <c r="U11" s="230">
        <f t="shared" si="14"/>
        <v>304000</v>
      </c>
      <c r="V11" s="230">
        <f t="shared" si="14"/>
        <v>304000</v>
      </c>
      <c r="W11" s="230">
        <f t="shared" si="14"/>
        <v>304000</v>
      </c>
      <c r="X11" s="230">
        <f t="shared" si="14"/>
        <v>304000</v>
      </c>
      <c r="Y11" s="230">
        <f t="shared" si="14"/>
        <v>304000</v>
      </c>
      <c r="Z11" s="230">
        <f t="shared" si="14"/>
        <v>304000</v>
      </c>
      <c r="AA11" s="230">
        <f t="shared" si="14"/>
        <v>304000</v>
      </c>
      <c r="AB11" s="230">
        <f t="shared" si="14"/>
        <v>304000</v>
      </c>
      <c r="AC11" s="230">
        <f t="shared" si="14"/>
        <v>304000</v>
      </c>
      <c r="AD11" s="230">
        <f t="shared" si="14"/>
        <v>304000</v>
      </c>
      <c r="AE11" s="230">
        <f t="shared" si="14"/>
        <v>304000</v>
      </c>
      <c r="AF11" s="230">
        <f t="shared" si="14"/>
        <v>304000</v>
      </c>
      <c r="AG11" s="230">
        <f t="shared" si="14"/>
        <v>304000</v>
      </c>
      <c r="AH11" s="230">
        <f t="shared" si="14"/>
        <v>304000</v>
      </c>
      <c r="AI11" s="230">
        <f t="shared" si="14"/>
        <v>304000</v>
      </c>
      <c r="AJ11" s="230">
        <f t="shared" si="14"/>
        <v>304000</v>
      </c>
      <c r="AK11" s="526">
        <f t="shared" si="14"/>
        <v>304000</v>
      </c>
      <c r="AL11" s="566">
        <f t="shared" si="14"/>
        <v>304000</v>
      </c>
      <c r="AM11" s="230">
        <v>364800</v>
      </c>
      <c r="AN11" s="230">
        <v>364800</v>
      </c>
      <c r="AO11" s="230">
        <v>364800</v>
      </c>
      <c r="AP11" s="230">
        <v>364800</v>
      </c>
      <c r="AQ11" s="230">
        <v>364800</v>
      </c>
      <c r="AR11" s="230">
        <v>364800</v>
      </c>
    </row>
    <row r="12" spans="2:44">
      <c r="B12" s="229" t="s">
        <v>535</v>
      </c>
      <c r="C12" s="227"/>
      <c r="D12" s="227"/>
      <c r="E12" s="227"/>
      <c r="F12" s="303"/>
      <c r="G12" s="303"/>
      <c r="H12" s="230">
        <f>+H101</f>
        <v>175033.26746661108</v>
      </c>
      <c r="I12" s="230">
        <f t="shared" ref="I12:AL12" si="15">+I101</f>
        <v>175628.38057599755</v>
      </c>
      <c r="J12" s="230">
        <f t="shared" si="15"/>
        <v>176225.51706995594</v>
      </c>
      <c r="K12" s="230">
        <f t="shared" si="15"/>
        <v>176824.68382799381</v>
      </c>
      <c r="L12" s="230">
        <f t="shared" si="15"/>
        <v>177425.88775300901</v>
      </c>
      <c r="M12" s="230">
        <f t="shared" si="15"/>
        <v>178029.13577136927</v>
      </c>
      <c r="N12" s="230">
        <f t="shared" si="15"/>
        <v>178634.43483299192</v>
      </c>
      <c r="O12" s="230">
        <f t="shared" si="15"/>
        <v>179241.79191142411</v>
      </c>
      <c r="P12" s="230">
        <f t="shared" si="15"/>
        <v>179851.21400392297</v>
      </c>
      <c r="Q12" s="230">
        <f t="shared" si="15"/>
        <v>180462.70813153632</v>
      </c>
      <c r="R12" s="230">
        <f t="shared" si="15"/>
        <v>181076.28133918357</v>
      </c>
      <c r="S12" s="230">
        <f t="shared" si="15"/>
        <v>181691.94069573679</v>
      </c>
      <c r="T12" s="230">
        <f t="shared" si="15"/>
        <v>182309.69329410233</v>
      </c>
      <c r="U12" s="230">
        <f t="shared" si="15"/>
        <v>182929.54625130226</v>
      </c>
      <c r="V12" s="230">
        <f t="shared" si="15"/>
        <v>183551.5067085567</v>
      </c>
      <c r="W12" s="230">
        <f t="shared" si="15"/>
        <v>184175.58183136582</v>
      </c>
      <c r="X12" s="230">
        <f t="shared" si="15"/>
        <v>184801.77880959248</v>
      </c>
      <c r="Y12" s="230">
        <f t="shared" si="15"/>
        <v>185430.10485754511</v>
      </c>
      <c r="Z12" s="230">
        <f t="shared" si="15"/>
        <v>186060.56721406078</v>
      </c>
      <c r="AA12" s="230">
        <f t="shared" si="15"/>
        <v>186693.17314258858</v>
      </c>
      <c r="AB12" s="230">
        <f t="shared" si="15"/>
        <v>187327.92993127342</v>
      </c>
      <c r="AC12" s="230">
        <f t="shared" si="15"/>
        <v>187964.84489303976</v>
      </c>
      <c r="AD12" s="230">
        <f t="shared" si="15"/>
        <v>188603.92536567608</v>
      </c>
      <c r="AE12" s="230">
        <f t="shared" si="15"/>
        <v>189245.17871191941</v>
      </c>
      <c r="AF12" s="230">
        <f t="shared" si="15"/>
        <v>189888.61231953994</v>
      </c>
      <c r="AG12" s="230">
        <f t="shared" si="15"/>
        <v>190534.23360142639</v>
      </c>
      <c r="AH12" s="230">
        <f t="shared" si="15"/>
        <v>191182.04999567126</v>
      </c>
      <c r="AI12" s="230">
        <f t="shared" si="15"/>
        <v>191832.06896565654</v>
      </c>
      <c r="AJ12" s="230">
        <f t="shared" si="15"/>
        <v>192484.29800013977</v>
      </c>
      <c r="AK12" s="526">
        <f t="shared" si="15"/>
        <v>193138.74461334027</v>
      </c>
      <c r="AL12" s="566">
        <f t="shared" si="15"/>
        <v>193795.41634502565</v>
      </c>
      <c r="AM12" s="230">
        <v>290693.12451753847</v>
      </c>
      <c r="AN12" s="230">
        <v>290693.12451753847</v>
      </c>
      <c r="AO12" s="230">
        <v>290693.12451753847</v>
      </c>
      <c r="AP12" s="230">
        <v>290693.12451753847</v>
      </c>
      <c r="AQ12" s="230">
        <v>290693.12451753847</v>
      </c>
      <c r="AR12" s="230">
        <v>290693.12451753847</v>
      </c>
    </row>
    <row r="13" spans="2:44">
      <c r="B13" s="229" t="s">
        <v>536</v>
      </c>
      <c r="C13" s="227"/>
      <c r="D13" s="227"/>
      <c r="E13" s="227"/>
      <c r="F13" s="303"/>
      <c r="H13" s="230">
        <f>+H125</f>
        <v>24747.800000000003</v>
      </c>
      <c r="I13" s="230">
        <f t="shared" ref="I13:AL13" si="16">+I125</f>
        <v>24747.800000000003</v>
      </c>
      <c r="J13" s="230">
        <f t="shared" si="16"/>
        <v>24747.800000000003</v>
      </c>
      <c r="K13" s="230">
        <f t="shared" si="16"/>
        <v>24747.800000000003</v>
      </c>
      <c r="L13" s="230">
        <f t="shared" si="16"/>
        <v>24747.800000000003</v>
      </c>
      <c r="M13" s="230">
        <f t="shared" si="16"/>
        <v>24747.800000000003</v>
      </c>
      <c r="N13" s="230">
        <f t="shared" si="16"/>
        <v>24747.800000000003</v>
      </c>
      <c r="O13" s="230">
        <f t="shared" si="16"/>
        <v>24747.800000000003</v>
      </c>
      <c r="P13" s="230">
        <f t="shared" si="16"/>
        <v>24747.800000000003</v>
      </c>
      <c r="Q13" s="230">
        <f t="shared" si="16"/>
        <v>24747.800000000003</v>
      </c>
      <c r="R13" s="230">
        <f t="shared" si="16"/>
        <v>24747.800000000003</v>
      </c>
      <c r="S13" s="230">
        <f t="shared" si="16"/>
        <v>24747.800000000003</v>
      </c>
      <c r="T13" s="230">
        <f t="shared" si="16"/>
        <v>24747.800000000003</v>
      </c>
      <c r="U13" s="230">
        <f t="shared" si="16"/>
        <v>24747.800000000003</v>
      </c>
      <c r="V13" s="230">
        <f t="shared" si="16"/>
        <v>24747.800000000003</v>
      </c>
      <c r="W13" s="230">
        <f t="shared" si="16"/>
        <v>24747.800000000003</v>
      </c>
      <c r="X13" s="230">
        <f t="shared" si="16"/>
        <v>24747.800000000003</v>
      </c>
      <c r="Y13" s="230">
        <f t="shared" si="16"/>
        <v>24747.800000000003</v>
      </c>
      <c r="Z13" s="230">
        <f t="shared" si="16"/>
        <v>24747.800000000003</v>
      </c>
      <c r="AA13" s="230">
        <f t="shared" si="16"/>
        <v>24747.800000000003</v>
      </c>
      <c r="AB13" s="230">
        <f t="shared" si="16"/>
        <v>24747.800000000003</v>
      </c>
      <c r="AC13" s="230">
        <f t="shared" si="16"/>
        <v>24747.800000000003</v>
      </c>
      <c r="AD13" s="230">
        <f t="shared" si="16"/>
        <v>24747.800000000003</v>
      </c>
      <c r="AE13" s="230">
        <f t="shared" si="16"/>
        <v>24747.800000000003</v>
      </c>
      <c r="AF13" s="230">
        <f t="shared" si="16"/>
        <v>24747.800000000003</v>
      </c>
      <c r="AG13" s="230">
        <f t="shared" si="16"/>
        <v>24747.800000000003</v>
      </c>
      <c r="AH13" s="230">
        <f t="shared" si="16"/>
        <v>24747.800000000003</v>
      </c>
      <c r="AI13" s="230">
        <f t="shared" si="16"/>
        <v>24747.800000000003</v>
      </c>
      <c r="AJ13" s="230">
        <f t="shared" si="16"/>
        <v>24747.800000000003</v>
      </c>
      <c r="AK13" s="526">
        <f t="shared" si="16"/>
        <v>24747.800000000003</v>
      </c>
      <c r="AL13" s="566">
        <f t="shared" si="16"/>
        <v>24747.800000000003</v>
      </c>
      <c r="AM13" s="230">
        <v>59394.720000000001</v>
      </c>
      <c r="AN13" s="230">
        <v>59394.720000000001</v>
      </c>
      <c r="AO13" s="230">
        <v>59394.720000000001</v>
      </c>
      <c r="AP13" s="230">
        <v>59394.720000000001</v>
      </c>
      <c r="AQ13" s="230">
        <v>59394.720000000001</v>
      </c>
      <c r="AR13" s="230">
        <v>59394.720000000001</v>
      </c>
    </row>
    <row r="14" spans="2:44">
      <c r="B14" s="590" t="s">
        <v>537</v>
      </c>
      <c r="C14" s="303">
        <f>AVERAGE(H14:AK14)</f>
        <v>512690.43606288417</v>
      </c>
      <c r="D14" s="227"/>
      <c r="E14" s="227"/>
      <c r="H14" s="231">
        <f>SUM(H11:H13)</f>
        <v>503781.0674666111</v>
      </c>
      <c r="I14" s="231">
        <f t="shared" ref="I14:AQ14" si="17">SUM(I11:I13)</f>
        <v>504376.18057599751</v>
      </c>
      <c r="J14" s="231">
        <f t="shared" si="17"/>
        <v>504973.31706995593</v>
      </c>
      <c r="K14" s="231">
        <f t="shared" si="17"/>
        <v>505572.4838279938</v>
      </c>
      <c r="L14" s="231">
        <f t="shared" si="17"/>
        <v>506173.68775300897</v>
      </c>
      <c r="M14" s="231">
        <f t="shared" si="17"/>
        <v>506776.93577136926</v>
      </c>
      <c r="N14" s="231">
        <f t="shared" si="17"/>
        <v>507382.2348329919</v>
      </c>
      <c r="O14" s="231">
        <f t="shared" si="17"/>
        <v>507989.59191142413</v>
      </c>
      <c r="P14" s="231">
        <f t="shared" si="17"/>
        <v>508599.01400392299</v>
      </c>
      <c r="Q14" s="231">
        <f t="shared" si="17"/>
        <v>509210.50813153631</v>
      </c>
      <c r="R14" s="231">
        <f t="shared" si="17"/>
        <v>509824.08133918355</v>
      </c>
      <c r="S14" s="231">
        <f t="shared" si="17"/>
        <v>510439.74069573678</v>
      </c>
      <c r="T14" s="231">
        <f t="shared" si="17"/>
        <v>511057.49329410231</v>
      </c>
      <c r="U14" s="231">
        <f t="shared" si="17"/>
        <v>511677.34625130222</v>
      </c>
      <c r="V14" s="231">
        <f t="shared" si="17"/>
        <v>512299.30670855666</v>
      </c>
      <c r="W14" s="231">
        <f t="shared" si="17"/>
        <v>512923.38183136581</v>
      </c>
      <c r="X14" s="231">
        <f t="shared" si="17"/>
        <v>513549.57880959247</v>
      </c>
      <c r="Y14" s="231">
        <f t="shared" si="17"/>
        <v>514177.9048575451</v>
      </c>
      <c r="Z14" s="231">
        <f t="shared" si="17"/>
        <v>514808.3672140608</v>
      </c>
      <c r="AA14" s="231">
        <f t="shared" si="17"/>
        <v>515440.97314258857</v>
      </c>
      <c r="AB14" s="231">
        <f t="shared" si="17"/>
        <v>516075.72993127344</v>
      </c>
      <c r="AC14" s="231">
        <f t="shared" si="17"/>
        <v>516712.64489303977</v>
      </c>
      <c r="AD14" s="231">
        <f t="shared" si="17"/>
        <v>517351.72536567604</v>
      </c>
      <c r="AE14" s="231">
        <f t="shared" si="17"/>
        <v>517992.97871191939</v>
      </c>
      <c r="AF14" s="231">
        <f t="shared" si="17"/>
        <v>518636.41231953993</v>
      </c>
      <c r="AG14" s="231">
        <f t="shared" si="17"/>
        <v>519282.03360142634</v>
      </c>
      <c r="AH14" s="231">
        <f t="shared" si="17"/>
        <v>519929.84999567125</v>
      </c>
      <c r="AI14" s="231">
        <f t="shared" si="17"/>
        <v>520579.86896565655</v>
      </c>
      <c r="AJ14" s="231">
        <f t="shared" si="17"/>
        <v>521232.09800013975</v>
      </c>
      <c r="AK14" s="527">
        <f t="shared" si="17"/>
        <v>521886.54461334023</v>
      </c>
      <c r="AL14" s="567">
        <f t="shared" si="17"/>
        <v>522543.21634502563</v>
      </c>
      <c r="AM14" s="231">
        <f t="shared" si="17"/>
        <v>714887.84451753844</v>
      </c>
      <c r="AN14" s="231">
        <f t="shared" si="17"/>
        <v>714887.84451753844</v>
      </c>
      <c r="AO14" s="231">
        <f t="shared" si="17"/>
        <v>714887.84451753844</v>
      </c>
      <c r="AP14" s="231">
        <f t="shared" si="17"/>
        <v>714887.84451753844</v>
      </c>
      <c r="AQ14" s="231">
        <f t="shared" si="17"/>
        <v>714887.84451753844</v>
      </c>
      <c r="AR14" s="231">
        <f>SUM(AR11:AR13)</f>
        <v>714887.84451753844</v>
      </c>
    </row>
    <row r="15" spans="2:44" hidden="1">
      <c r="B15" s="227"/>
      <c r="C15" s="227"/>
      <c r="D15" s="227"/>
      <c r="E15" s="227"/>
      <c r="F15" s="303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527"/>
      <c r="AL15" s="567"/>
      <c r="AM15" s="231"/>
      <c r="AN15" s="231"/>
      <c r="AO15" s="231"/>
      <c r="AP15" s="231"/>
      <c r="AQ15" s="231"/>
      <c r="AR15" s="231"/>
    </row>
    <row r="16" spans="2:44" ht="17.25" hidden="1">
      <c r="B16" s="227" t="s">
        <v>538</v>
      </c>
      <c r="C16" s="227"/>
      <c r="D16" s="227"/>
      <c r="E16" s="227"/>
      <c r="F16" s="227"/>
      <c r="G16" s="227"/>
      <c r="H16" s="228">
        <f>SUM(H17:H19)</f>
        <v>336656.10573330557</v>
      </c>
      <c r="I16" s="228">
        <f t="shared" ref="I16:AL16" si="18">SUM(I17:I19)</f>
        <v>336953.66228799877</v>
      </c>
      <c r="J16" s="228">
        <f t="shared" si="18"/>
        <v>337252.23053497798</v>
      </c>
      <c r="K16" s="228">
        <f t="shared" si="18"/>
        <v>337551.81391399691</v>
      </c>
      <c r="L16" s="228">
        <f t="shared" si="18"/>
        <v>337852.4158765045</v>
      </c>
      <c r="M16" s="228">
        <f t="shared" si="18"/>
        <v>338154.03988568467</v>
      </c>
      <c r="N16" s="228">
        <f t="shared" si="18"/>
        <v>338456.68941649597</v>
      </c>
      <c r="O16" s="228">
        <f t="shared" si="18"/>
        <v>338760.36795571208</v>
      </c>
      <c r="P16" s="228">
        <f t="shared" si="18"/>
        <v>339065.07900196151</v>
      </c>
      <c r="Q16" s="228">
        <f t="shared" si="18"/>
        <v>339370.8260657682</v>
      </c>
      <c r="R16" s="228">
        <f t="shared" si="18"/>
        <v>339677.61266959179</v>
      </c>
      <c r="S16" s="228">
        <f t="shared" si="18"/>
        <v>339985.4423478684</v>
      </c>
      <c r="T16" s="228">
        <f t="shared" si="18"/>
        <v>340294.31864705117</v>
      </c>
      <c r="U16" s="228">
        <f t="shared" si="18"/>
        <v>340604.24512565113</v>
      </c>
      <c r="V16" s="228">
        <f t="shared" si="18"/>
        <v>340915.22535427834</v>
      </c>
      <c r="W16" s="228">
        <f t="shared" si="18"/>
        <v>341227.26291568292</v>
      </c>
      <c r="X16" s="228">
        <f t="shared" si="18"/>
        <v>341540.36140479625</v>
      </c>
      <c r="Y16" s="228">
        <f t="shared" si="18"/>
        <v>341854.52442877257</v>
      </c>
      <c r="Z16" s="228">
        <f t="shared" si="18"/>
        <v>342169.75560703041</v>
      </c>
      <c r="AA16" s="228">
        <f t="shared" si="18"/>
        <v>342486.0585712943</v>
      </c>
      <c r="AB16" s="228">
        <f t="shared" si="18"/>
        <v>342803.43696563673</v>
      </c>
      <c r="AC16" s="228">
        <f t="shared" si="18"/>
        <v>343121.8944465199</v>
      </c>
      <c r="AD16" s="228">
        <f t="shared" si="18"/>
        <v>343441.43468283804</v>
      </c>
      <c r="AE16" s="228">
        <f t="shared" si="18"/>
        <v>343762.06135595968</v>
      </c>
      <c r="AF16" s="228">
        <f t="shared" si="18"/>
        <v>344083.77815977001</v>
      </c>
      <c r="AG16" s="228">
        <f t="shared" si="18"/>
        <v>344406.58880071319</v>
      </c>
      <c r="AH16" s="228">
        <f t="shared" si="18"/>
        <v>344730.49699783564</v>
      </c>
      <c r="AI16" s="228">
        <f t="shared" si="18"/>
        <v>345055.50648282829</v>
      </c>
      <c r="AJ16" s="228">
        <f t="shared" si="18"/>
        <v>345381.62100006989</v>
      </c>
      <c r="AK16" s="525">
        <f t="shared" si="18"/>
        <v>345708.84430667013</v>
      </c>
      <c r="AL16" s="565">
        <f t="shared" si="18"/>
        <v>346037.18017251283</v>
      </c>
      <c r="AM16" s="228">
        <v>346037.18017251283</v>
      </c>
      <c r="AN16" s="228">
        <v>346037.18017251283</v>
      </c>
      <c r="AO16" s="228">
        <v>346037.18017251283</v>
      </c>
      <c r="AP16" s="228">
        <v>346037.18017251283</v>
      </c>
      <c r="AQ16" s="228">
        <v>346037.18017251283</v>
      </c>
      <c r="AR16" s="228">
        <v>346037.18017251283</v>
      </c>
    </row>
    <row r="17" spans="2:44" hidden="1">
      <c r="B17" s="229" t="s">
        <v>492</v>
      </c>
      <c r="C17" s="227"/>
      <c r="D17" s="227"/>
      <c r="E17" s="227"/>
      <c r="F17" s="227"/>
      <c r="G17" s="227"/>
      <c r="H17" s="230">
        <f>H45</f>
        <v>243200</v>
      </c>
      <c r="I17" s="230">
        <f t="shared" ref="I17:AL17" si="19">I45</f>
        <v>243200</v>
      </c>
      <c r="J17" s="230">
        <f t="shared" si="19"/>
        <v>243200</v>
      </c>
      <c r="K17" s="230">
        <f t="shared" si="19"/>
        <v>243200</v>
      </c>
      <c r="L17" s="230">
        <f t="shared" si="19"/>
        <v>243200</v>
      </c>
      <c r="M17" s="230">
        <f t="shared" si="19"/>
        <v>243200</v>
      </c>
      <c r="N17" s="230">
        <f t="shared" si="19"/>
        <v>243200</v>
      </c>
      <c r="O17" s="230">
        <f t="shared" si="19"/>
        <v>243200</v>
      </c>
      <c r="P17" s="230">
        <f t="shared" si="19"/>
        <v>243200</v>
      </c>
      <c r="Q17" s="230">
        <f t="shared" si="19"/>
        <v>243200</v>
      </c>
      <c r="R17" s="230">
        <f t="shared" si="19"/>
        <v>243200</v>
      </c>
      <c r="S17" s="230">
        <f t="shared" si="19"/>
        <v>243200</v>
      </c>
      <c r="T17" s="230">
        <f t="shared" si="19"/>
        <v>243200</v>
      </c>
      <c r="U17" s="230">
        <f t="shared" si="19"/>
        <v>243200</v>
      </c>
      <c r="V17" s="230">
        <f t="shared" si="19"/>
        <v>243200</v>
      </c>
      <c r="W17" s="230">
        <f t="shared" si="19"/>
        <v>243200</v>
      </c>
      <c r="X17" s="230">
        <f t="shared" si="19"/>
        <v>243200</v>
      </c>
      <c r="Y17" s="230">
        <f t="shared" si="19"/>
        <v>243200</v>
      </c>
      <c r="Z17" s="230">
        <f t="shared" si="19"/>
        <v>243200</v>
      </c>
      <c r="AA17" s="230">
        <f t="shared" si="19"/>
        <v>243200</v>
      </c>
      <c r="AB17" s="230">
        <f t="shared" si="19"/>
        <v>243200</v>
      </c>
      <c r="AC17" s="230">
        <f t="shared" si="19"/>
        <v>243200</v>
      </c>
      <c r="AD17" s="230">
        <f t="shared" si="19"/>
        <v>243200</v>
      </c>
      <c r="AE17" s="230">
        <f t="shared" si="19"/>
        <v>243200</v>
      </c>
      <c r="AF17" s="230">
        <f t="shared" si="19"/>
        <v>243200</v>
      </c>
      <c r="AG17" s="230">
        <f t="shared" si="19"/>
        <v>243200</v>
      </c>
      <c r="AH17" s="230">
        <f t="shared" si="19"/>
        <v>243200</v>
      </c>
      <c r="AI17" s="230">
        <f t="shared" si="19"/>
        <v>243200</v>
      </c>
      <c r="AJ17" s="230">
        <f t="shared" si="19"/>
        <v>243200</v>
      </c>
      <c r="AK17" s="526">
        <f t="shared" si="19"/>
        <v>243200</v>
      </c>
      <c r="AL17" s="566">
        <f t="shared" si="19"/>
        <v>243200</v>
      </c>
      <c r="AM17" s="230">
        <v>243200</v>
      </c>
      <c r="AN17" s="230">
        <v>243200</v>
      </c>
      <c r="AO17" s="230">
        <v>243200</v>
      </c>
      <c r="AP17" s="230">
        <v>243200</v>
      </c>
      <c r="AQ17" s="230">
        <v>243200</v>
      </c>
      <c r="AR17" s="230">
        <v>243200</v>
      </c>
    </row>
    <row r="18" spans="2:44" hidden="1">
      <c r="B18" s="229" t="s">
        <v>535</v>
      </c>
      <c r="C18" s="227"/>
      <c r="D18" s="227"/>
      <c r="E18" s="227"/>
      <c r="F18" s="227"/>
      <c r="G18" s="227"/>
      <c r="H18" s="230">
        <f>+H102</f>
        <v>87516.633733305542</v>
      </c>
      <c r="I18" s="230">
        <f t="shared" ref="I18:AL18" si="20">+I102</f>
        <v>87814.190287998776</v>
      </c>
      <c r="J18" s="230">
        <f t="shared" si="20"/>
        <v>88112.758534977969</v>
      </c>
      <c r="K18" s="230">
        <f t="shared" si="20"/>
        <v>88412.341913996905</v>
      </c>
      <c r="L18" s="230">
        <f t="shared" si="20"/>
        <v>88712.943876504505</v>
      </c>
      <c r="M18" s="230">
        <f t="shared" si="20"/>
        <v>89014.567885684635</v>
      </c>
      <c r="N18" s="230">
        <f t="shared" si="20"/>
        <v>89317.217416495958</v>
      </c>
      <c r="O18" s="230">
        <f t="shared" si="20"/>
        <v>89620.895955712054</v>
      </c>
      <c r="P18" s="230">
        <f t="shared" si="20"/>
        <v>89925.607001961485</v>
      </c>
      <c r="Q18" s="230">
        <f t="shared" si="20"/>
        <v>90231.354065768159</v>
      </c>
      <c r="R18" s="230">
        <f t="shared" si="20"/>
        <v>90538.140669591783</v>
      </c>
      <c r="S18" s="230">
        <f t="shared" si="20"/>
        <v>90845.970347868395</v>
      </c>
      <c r="T18" s="230">
        <f t="shared" si="20"/>
        <v>91154.846647051163</v>
      </c>
      <c r="U18" s="230">
        <f t="shared" si="20"/>
        <v>91464.773125651132</v>
      </c>
      <c r="V18" s="230">
        <f t="shared" si="20"/>
        <v>91775.753354278349</v>
      </c>
      <c r="W18" s="230">
        <f t="shared" si="20"/>
        <v>92087.790915682912</v>
      </c>
      <c r="X18" s="230">
        <f t="shared" si="20"/>
        <v>92400.889404796239</v>
      </c>
      <c r="Y18" s="230">
        <f t="shared" si="20"/>
        <v>92715.052428772557</v>
      </c>
      <c r="Z18" s="230">
        <f t="shared" si="20"/>
        <v>93030.283607030389</v>
      </c>
      <c r="AA18" s="230">
        <f t="shared" si="20"/>
        <v>93346.58657129429</v>
      </c>
      <c r="AB18" s="230">
        <f t="shared" si="20"/>
        <v>93663.964965636711</v>
      </c>
      <c r="AC18" s="230">
        <f t="shared" si="20"/>
        <v>93982.422446519879</v>
      </c>
      <c r="AD18" s="230">
        <f t="shared" si="20"/>
        <v>94301.962682838042</v>
      </c>
      <c r="AE18" s="230">
        <f t="shared" si="20"/>
        <v>94622.589355959703</v>
      </c>
      <c r="AF18" s="230">
        <f t="shared" si="20"/>
        <v>94944.306159769971</v>
      </c>
      <c r="AG18" s="230">
        <f t="shared" si="20"/>
        <v>95267.116800713193</v>
      </c>
      <c r="AH18" s="230">
        <f t="shared" si="20"/>
        <v>95591.02499783563</v>
      </c>
      <c r="AI18" s="230">
        <f t="shared" si="20"/>
        <v>95916.034482828269</v>
      </c>
      <c r="AJ18" s="230">
        <f t="shared" si="20"/>
        <v>96242.149000069883</v>
      </c>
      <c r="AK18" s="526">
        <f t="shared" si="20"/>
        <v>96569.372306670135</v>
      </c>
      <c r="AL18" s="566">
        <f t="shared" si="20"/>
        <v>96897.708172512823</v>
      </c>
      <c r="AM18" s="230">
        <v>96897.708172512823</v>
      </c>
      <c r="AN18" s="230">
        <v>96897.708172512823</v>
      </c>
      <c r="AO18" s="230">
        <v>96897.708172512823</v>
      </c>
      <c r="AP18" s="230">
        <v>96897.708172512823</v>
      </c>
      <c r="AQ18" s="230">
        <v>96897.708172512823</v>
      </c>
      <c r="AR18" s="230">
        <v>96897.708172512823</v>
      </c>
    </row>
    <row r="19" spans="2:44" hidden="1">
      <c r="B19" s="229" t="s">
        <v>536</v>
      </c>
      <c r="C19" s="227"/>
      <c r="D19" s="227"/>
      <c r="E19" s="227"/>
      <c r="F19" s="227"/>
      <c r="G19" s="227"/>
      <c r="H19" s="232">
        <f>+H126</f>
        <v>5939.4720000000007</v>
      </c>
      <c r="I19" s="232">
        <f t="shared" ref="I19:AL19" si="21">+I126</f>
        <v>5939.4720000000007</v>
      </c>
      <c r="J19" s="232">
        <f t="shared" si="21"/>
        <v>5939.4720000000007</v>
      </c>
      <c r="K19" s="232">
        <f t="shared" si="21"/>
        <v>5939.4720000000007</v>
      </c>
      <c r="L19" s="232">
        <f t="shared" si="21"/>
        <v>5939.4720000000007</v>
      </c>
      <c r="M19" s="232">
        <f t="shared" si="21"/>
        <v>5939.4720000000007</v>
      </c>
      <c r="N19" s="232">
        <f t="shared" si="21"/>
        <v>5939.4720000000007</v>
      </c>
      <c r="O19" s="232">
        <f t="shared" si="21"/>
        <v>5939.4720000000007</v>
      </c>
      <c r="P19" s="232">
        <f t="shared" si="21"/>
        <v>5939.4720000000007</v>
      </c>
      <c r="Q19" s="232">
        <f t="shared" si="21"/>
        <v>5939.4720000000007</v>
      </c>
      <c r="R19" s="232">
        <f t="shared" si="21"/>
        <v>5939.4720000000007</v>
      </c>
      <c r="S19" s="232">
        <f t="shared" si="21"/>
        <v>5939.4720000000007</v>
      </c>
      <c r="T19" s="232">
        <f t="shared" si="21"/>
        <v>5939.4720000000007</v>
      </c>
      <c r="U19" s="232">
        <f t="shared" si="21"/>
        <v>5939.4720000000007</v>
      </c>
      <c r="V19" s="232">
        <f t="shared" si="21"/>
        <v>5939.4720000000007</v>
      </c>
      <c r="W19" s="232">
        <f t="shared" si="21"/>
        <v>5939.4720000000007</v>
      </c>
      <c r="X19" s="232">
        <f t="shared" si="21"/>
        <v>5939.4720000000007</v>
      </c>
      <c r="Y19" s="232">
        <f t="shared" si="21"/>
        <v>5939.4720000000007</v>
      </c>
      <c r="Z19" s="232">
        <f t="shared" si="21"/>
        <v>5939.4720000000007</v>
      </c>
      <c r="AA19" s="232">
        <f t="shared" si="21"/>
        <v>5939.4720000000007</v>
      </c>
      <c r="AB19" s="232">
        <f t="shared" si="21"/>
        <v>5939.4720000000007</v>
      </c>
      <c r="AC19" s="232">
        <f t="shared" si="21"/>
        <v>5939.4720000000007</v>
      </c>
      <c r="AD19" s="232">
        <f t="shared" si="21"/>
        <v>5939.4720000000007</v>
      </c>
      <c r="AE19" s="232">
        <f t="shared" si="21"/>
        <v>5939.4720000000007</v>
      </c>
      <c r="AF19" s="232">
        <f t="shared" si="21"/>
        <v>5939.4720000000007</v>
      </c>
      <c r="AG19" s="232">
        <f t="shared" si="21"/>
        <v>5939.4720000000007</v>
      </c>
      <c r="AH19" s="232">
        <f t="shared" si="21"/>
        <v>5939.4720000000007</v>
      </c>
      <c r="AI19" s="232">
        <f t="shared" si="21"/>
        <v>5939.4720000000007</v>
      </c>
      <c r="AJ19" s="232">
        <f t="shared" si="21"/>
        <v>5939.4720000000007</v>
      </c>
      <c r="AK19" s="528">
        <f t="shared" si="21"/>
        <v>5939.4720000000007</v>
      </c>
      <c r="AL19" s="568">
        <f t="shared" si="21"/>
        <v>5939.4720000000007</v>
      </c>
      <c r="AM19" s="232">
        <v>5939.4720000000007</v>
      </c>
      <c r="AN19" s="232">
        <v>5939.4720000000007</v>
      </c>
      <c r="AO19" s="232">
        <v>5939.4720000000007</v>
      </c>
      <c r="AP19" s="232">
        <v>5939.4720000000007</v>
      </c>
      <c r="AQ19" s="232">
        <v>5939.4720000000007</v>
      </c>
      <c r="AR19" s="232">
        <v>5939.4720000000007</v>
      </c>
    </row>
    <row r="20" spans="2:44"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529"/>
      <c r="AL20" s="569"/>
      <c r="AM20" s="233"/>
      <c r="AN20" s="233"/>
      <c r="AO20" s="233"/>
      <c r="AP20" s="233"/>
    </row>
    <row r="21" spans="2:44" s="587" customFormat="1">
      <c r="B21" s="585" t="s">
        <v>539</v>
      </c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  <c r="Q21" s="585"/>
      <c r="R21" s="585"/>
      <c r="S21" s="585"/>
      <c r="T21" s="585"/>
      <c r="U21" s="585"/>
      <c r="V21" s="585"/>
      <c r="W21" s="585"/>
      <c r="X21" s="585"/>
      <c r="Y21" s="585"/>
      <c r="Z21" s="585"/>
      <c r="AA21" s="585"/>
      <c r="AB21" s="585"/>
      <c r="AC21" s="585"/>
      <c r="AD21" s="585"/>
      <c r="AE21" s="585"/>
      <c r="AF21" s="585"/>
      <c r="AG21" s="585"/>
      <c r="AH21" s="585"/>
      <c r="AI21" s="585"/>
      <c r="AJ21" s="585"/>
      <c r="AK21" s="586"/>
      <c r="AL21" s="585"/>
      <c r="AM21" s="585"/>
      <c r="AN21" s="585"/>
      <c r="AO21" s="585"/>
      <c r="AP21" s="585"/>
    </row>
    <row r="22" spans="2:44"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530"/>
      <c r="AL22" s="219"/>
      <c r="AM22" s="219"/>
      <c r="AN22" s="219"/>
      <c r="AO22" s="219"/>
      <c r="AP22" s="219"/>
    </row>
    <row r="23" spans="2:44">
      <c r="B23" s="235" t="s">
        <v>540</v>
      </c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530"/>
      <c r="AL23" s="219"/>
      <c r="AM23" s="219"/>
      <c r="AN23" s="219"/>
      <c r="AO23" s="219"/>
      <c r="AP23" s="219"/>
    </row>
    <row r="24" spans="2:44">
      <c r="B24" s="236" t="s">
        <v>541</v>
      </c>
      <c r="C24" s="237" t="s">
        <v>542</v>
      </c>
      <c r="D24" s="237" t="s">
        <v>543</v>
      </c>
      <c r="E24" s="236" t="s">
        <v>544</v>
      </c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530"/>
      <c r="AL24" s="219"/>
      <c r="AM24" s="219"/>
      <c r="AN24" s="219"/>
      <c r="AO24" s="219"/>
      <c r="AP24" s="219"/>
    </row>
    <row r="25" spans="2:44">
      <c r="B25" s="238" t="s">
        <v>545</v>
      </c>
      <c r="C25" s="238" t="s">
        <v>546</v>
      </c>
      <c r="D25" s="238" t="s">
        <v>547</v>
      </c>
      <c r="E25" s="239">
        <v>300000</v>
      </c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530"/>
      <c r="AL25" s="219"/>
      <c r="AM25" s="219"/>
      <c r="AN25" s="219"/>
      <c r="AO25" s="219"/>
      <c r="AP25" s="219"/>
    </row>
    <row r="26" spans="2:44">
      <c r="B26" s="238" t="s">
        <v>548</v>
      </c>
      <c r="C26" s="238" t="s">
        <v>549</v>
      </c>
      <c r="D26" s="238" t="s">
        <v>550</v>
      </c>
      <c r="E26" s="239">
        <v>70000</v>
      </c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530"/>
      <c r="AL26" s="219"/>
      <c r="AM26" s="219"/>
      <c r="AN26" s="219"/>
      <c r="AO26" s="219"/>
      <c r="AP26" s="219"/>
    </row>
    <row r="27" spans="2:44" ht="25.5">
      <c r="B27" s="240" t="s">
        <v>548</v>
      </c>
      <c r="C27" s="240" t="s">
        <v>549</v>
      </c>
      <c r="D27" s="241" t="s">
        <v>551</v>
      </c>
      <c r="E27" s="242">
        <v>55000</v>
      </c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530"/>
      <c r="AL27" s="219"/>
      <c r="AM27" s="219"/>
      <c r="AN27" s="219"/>
      <c r="AO27" s="219"/>
      <c r="AP27" s="219"/>
    </row>
    <row r="28" spans="2:44">
      <c r="B28" s="238" t="s">
        <v>552</v>
      </c>
      <c r="C28" s="238" t="s">
        <v>553</v>
      </c>
      <c r="D28" s="238" t="s">
        <v>554</v>
      </c>
      <c r="E28" s="239">
        <v>400000</v>
      </c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530"/>
      <c r="AL28" s="219"/>
      <c r="AM28" s="219"/>
      <c r="AN28" s="219"/>
      <c r="AO28" s="219"/>
      <c r="AP28" s="219"/>
    </row>
    <row r="29" spans="2:44">
      <c r="B29" s="238" t="s">
        <v>555</v>
      </c>
      <c r="C29" s="238" t="s">
        <v>556</v>
      </c>
      <c r="D29" s="238" t="s">
        <v>557</v>
      </c>
      <c r="E29" s="239">
        <v>70000</v>
      </c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530"/>
      <c r="AL29" s="219"/>
      <c r="AM29" s="219"/>
      <c r="AN29" s="219"/>
      <c r="AO29" s="219"/>
      <c r="AP29" s="219"/>
    </row>
    <row r="30" spans="2:44">
      <c r="B30" s="219"/>
      <c r="C30" s="219"/>
      <c r="D30" s="219"/>
      <c r="E30" s="243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530"/>
      <c r="AL30" s="219"/>
      <c r="AM30" s="219"/>
      <c r="AN30" s="219"/>
      <c r="AO30" s="219"/>
      <c r="AP30" s="219"/>
    </row>
    <row r="31" spans="2:44">
      <c r="B31" s="219"/>
      <c r="C31" s="219"/>
      <c r="D31" s="219"/>
      <c r="E31" s="219"/>
      <c r="F31" s="219"/>
      <c r="G31" s="219"/>
      <c r="H31" s="588">
        <v>1</v>
      </c>
      <c r="I31" s="588">
        <f>H31+1</f>
        <v>2</v>
      </c>
      <c r="J31" s="588">
        <f t="shared" ref="J31:AL31" si="22">I31+1</f>
        <v>3</v>
      </c>
      <c r="K31" s="588">
        <f t="shared" si="22"/>
        <v>4</v>
      </c>
      <c r="L31" s="588">
        <f t="shared" si="22"/>
        <v>5</v>
      </c>
      <c r="M31" s="588">
        <f t="shared" si="22"/>
        <v>6</v>
      </c>
      <c r="N31" s="588">
        <f t="shared" si="22"/>
        <v>7</v>
      </c>
      <c r="O31" s="588">
        <f t="shared" si="22"/>
        <v>8</v>
      </c>
      <c r="P31" s="588">
        <f t="shared" si="22"/>
        <v>9</v>
      </c>
      <c r="Q31" s="588">
        <f t="shared" si="22"/>
        <v>10</v>
      </c>
      <c r="R31" s="588">
        <f t="shared" si="22"/>
        <v>11</v>
      </c>
      <c r="S31" s="588">
        <f t="shared" si="22"/>
        <v>12</v>
      </c>
      <c r="T31" s="588">
        <f t="shared" si="22"/>
        <v>13</v>
      </c>
      <c r="U31" s="588">
        <f t="shared" si="22"/>
        <v>14</v>
      </c>
      <c r="V31" s="588">
        <f t="shared" si="22"/>
        <v>15</v>
      </c>
      <c r="W31" s="588">
        <f t="shared" si="22"/>
        <v>16</v>
      </c>
      <c r="X31" s="588">
        <f t="shared" si="22"/>
        <v>17</v>
      </c>
      <c r="Y31" s="588">
        <f t="shared" si="22"/>
        <v>18</v>
      </c>
      <c r="Z31" s="588">
        <f t="shared" si="22"/>
        <v>19</v>
      </c>
      <c r="AA31" s="588">
        <f t="shared" si="22"/>
        <v>20</v>
      </c>
      <c r="AB31" s="588">
        <f t="shared" si="22"/>
        <v>21</v>
      </c>
      <c r="AC31" s="588">
        <f t="shared" si="22"/>
        <v>22</v>
      </c>
      <c r="AD31" s="588">
        <f t="shared" si="22"/>
        <v>23</v>
      </c>
      <c r="AE31" s="588">
        <f t="shared" si="22"/>
        <v>24</v>
      </c>
      <c r="AF31" s="588">
        <f t="shared" si="22"/>
        <v>25</v>
      </c>
      <c r="AG31" s="588">
        <f t="shared" si="22"/>
        <v>26</v>
      </c>
      <c r="AH31" s="588">
        <f t="shared" si="22"/>
        <v>27</v>
      </c>
      <c r="AI31" s="588">
        <f t="shared" si="22"/>
        <v>28</v>
      </c>
      <c r="AJ31" s="588">
        <f t="shared" si="22"/>
        <v>29</v>
      </c>
      <c r="AK31" s="589">
        <f t="shared" si="22"/>
        <v>30</v>
      </c>
      <c r="AL31" s="570">
        <f t="shared" si="22"/>
        <v>31</v>
      </c>
      <c r="AM31" s="219"/>
      <c r="AN31" s="219"/>
      <c r="AO31" s="219"/>
      <c r="AP31" s="219"/>
    </row>
    <row r="32" spans="2:44">
      <c r="B32" s="219"/>
      <c r="C32" s="219"/>
      <c r="D32" s="219"/>
      <c r="E32" s="219"/>
      <c r="F32" s="219"/>
      <c r="G32" s="219"/>
      <c r="H32" s="219">
        <v>2025</v>
      </c>
      <c r="I32" s="219">
        <v>2026</v>
      </c>
      <c r="J32" s="219">
        <v>2027</v>
      </c>
      <c r="K32" s="219">
        <v>2028</v>
      </c>
      <c r="L32" s="219">
        <v>2029</v>
      </c>
      <c r="M32" s="219">
        <v>2030</v>
      </c>
      <c r="N32" s="219">
        <v>2031</v>
      </c>
      <c r="O32" s="219">
        <v>2032</v>
      </c>
      <c r="P32" s="219">
        <v>2033</v>
      </c>
      <c r="Q32" s="219">
        <v>2034</v>
      </c>
      <c r="R32" s="219">
        <v>2035</v>
      </c>
      <c r="S32" s="219">
        <v>2036</v>
      </c>
      <c r="T32" s="219">
        <v>2037</v>
      </c>
      <c r="U32" s="219">
        <v>2038</v>
      </c>
      <c r="V32" s="219">
        <v>2039</v>
      </c>
      <c r="W32" s="219">
        <v>2040</v>
      </c>
      <c r="X32" s="219">
        <v>2041</v>
      </c>
      <c r="Y32" s="219">
        <v>2042</v>
      </c>
      <c r="Z32" s="219">
        <v>2043</v>
      </c>
      <c r="AA32" s="219">
        <v>2044</v>
      </c>
      <c r="AB32" s="219">
        <v>2045</v>
      </c>
      <c r="AC32" s="219">
        <v>2046</v>
      </c>
      <c r="AD32" s="219">
        <v>2047</v>
      </c>
      <c r="AE32" s="219">
        <v>2048</v>
      </c>
      <c r="AF32" s="219">
        <v>2049</v>
      </c>
      <c r="AG32" s="219">
        <v>2050</v>
      </c>
      <c r="AH32" s="219">
        <v>2051</v>
      </c>
      <c r="AI32" s="219">
        <v>2052</v>
      </c>
      <c r="AJ32" s="219">
        <v>2053</v>
      </c>
      <c r="AK32" s="530">
        <v>2054</v>
      </c>
      <c r="AL32" s="219">
        <v>2055</v>
      </c>
      <c r="AM32" s="219"/>
      <c r="AN32" s="219"/>
      <c r="AO32" s="219"/>
      <c r="AP32" s="219"/>
    </row>
    <row r="33" spans="2:42">
      <c r="B33" s="244" t="s">
        <v>558</v>
      </c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530"/>
      <c r="AL33" s="219"/>
      <c r="AM33" s="219"/>
      <c r="AN33" s="219"/>
      <c r="AO33" s="219"/>
      <c r="AP33" s="219"/>
    </row>
    <row r="34" spans="2:42">
      <c r="B34" s="219" t="s">
        <v>559</v>
      </c>
      <c r="C34" s="219"/>
      <c r="D34" s="219"/>
      <c r="E34" s="219"/>
      <c r="F34" s="219"/>
      <c r="G34" s="219"/>
      <c r="H34" s="245">
        <v>1</v>
      </c>
      <c r="I34" s="219">
        <f>H34</f>
        <v>1</v>
      </c>
      <c r="J34" s="219">
        <f t="shared" ref="J34:Y35" si="23">I34</f>
        <v>1</v>
      </c>
      <c r="K34" s="219">
        <f t="shared" si="23"/>
        <v>1</v>
      </c>
      <c r="L34" s="219">
        <f t="shared" si="23"/>
        <v>1</v>
      </c>
      <c r="M34" s="219">
        <f t="shared" si="23"/>
        <v>1</v>
      </c>
      <c r="N34" s="219">
        <f t="shared" si="23"/>
        <v>1</v>
      </c>
      <c r="O34" s="219">
        <f t="shared" si="23"/>
        <v>1</v>
      </c>
      <c r="P34" s="219">
        <f t="shared" si="23"/>
        <v>1</v>
      </c>
      <c r="Q34" s="219">
        <f t="shared" si="23"/>
        <v>1</v>
      </c>
      <c r="R34" s="219">
        <f t="shared" si="23"/>
        <v>1</v>
      </c>
      <c r="S34" s="219">
        <f t="shared" si="23"/>
        <v>1</v>
      </c>
      <c r="T34" s="219">
        <f t="shared" si="23"/>
        <v>1</v>
      </c>
      <c r="U34" s="219">
        <f t="shared" si="23"/>
        <v>1</v>
      </c>
      <c r="V34" s="219">
        <f t="shared" si="23"/>
        <v>1</v>
      </c>
      <c r="W34" s="219">
        <f t="shared" si="23"/>
        <v>1</v>
      </c>
      <c r="X34" s="219">
        <f t="shared" si="23"/>
        <v>1</v>
      </c>
      <c r="Y34" s="219">
        <f t="shared" si="23"/>
        <v>1</v>
      </c>
      <c r="Z34" s="219">
        <f t="shared" ref="Z34:AL35" si="24">Y34</f>
        <v>1</v>
      </c>
      <c r="AA34" s="219">
        <f t="shared" si="24"/>
        <v>1</v>
      </c>
      <c r="AB34" s="219">
        <f t="shared" si="24"/>
        <v>1</v>
      </c>
      <c r="AC34" s="219">
        <f t="shared" si="24"/>
        <v>1</v>
      </c>
      <c r="AD34" s="219">
        <f t="shared" si="24"/>
        <v>1</v>
      </c>
      <c r="AE34" s="219">
        <f t="shared" si="24"/>
        <v>1</v>
      </c>
      <c r="AF34" s="219">
        <f t="shared" si="24"/>
        <v>1</v>
      </c>
      <c r="AG34" s="219">
        <f t="shared" si="24"/>
        <v>1</v>
      </c>
      <c r="AH34" s="219">
        <f t="shared" si="24"/>
        <v>1</v>
      </c>
      <c r="AI34" s="219">
        <f t="shared" si="24"/>
        <v>1</v>
      </c>
      <c r="AJ34" s="219">
        <f t="shared" si="24"/>
        <v>1</v>
      </c>
      <c r="AK34" s="530">
        <f t="shared" si="24"/>
        <v>1</v>
      </c>
      <c r="AL34" s="219">
        <f t="shared" si="24"/>
        <v>1</v>
      </c>
    </row>
    <row r="35" spans="2:42">
      <c r="B35" s="219" t="s">
        <v>560</v>
      </c>
      <c r="C35" s="219"/>
      <c r="D35" s="219"/>
      <c r="E35" s="219"/>
      <c r="F35" s="219"/>
      <c r="G35" s="219"/>
      <c r="H35" s="245">
        <v>2</v>
      </c>
      <c r="I35" s="219">
        <f>H35</f>
        <v>2</v>
      </c>
      <c r="J35" s="219">
        <f t="shared" si="23"/>
        <v>2</v>
      </c>
      <c r="K35" s="219">
        <f t="shared" si="23"/>
        <v>2</v>
      </c>
      <c r="L35" s="219">
        <f t="shared" si="23"/>
        <v>2</v>
      </c>
      <c r="M35" s="219">
        <f t="shared" si="23"/>
        <v>2</v>
      </c>
      <c r="N35" s="219">
        <f t="shared" si="23"/>
        <v>2</v>
      </c>
      <c r="O35" s="219">
        <f t="shared" si="23"/>
        <v>2</v>
      </c>
      <c r="P35" s="219">
        <f t="shared" si="23"/>
        <v>2</v>
      </c>
      <c r="Q35" s="219">
        <f t="shared" si="23"/>
        <v>2</v>
      </c>
      <c r="R35" s="219">
        <f t="shared" si="23"/>
        <v>2</v>
      </c>
      <c r="S35" s="219">
        <f t="shared" si="23"/>
        <v>2</v>
      </c>
      <c r="T35" s="219">
        <f t="shared" si="23"/>
        <v>2</v>
      </c>
      <c r="U35" s="219">
        <f t="shared" si="23"/>
        <v>2</v>
      </c>
      <c r="V35" s="219">
        <f t="shared" si="23"/>
        <v>2</v>
      </c>
      <c r="W35" s="219">
        <f t="shared" si="23"/>
        <v>2</v>
      </c>
      <c r="X35" s="219">
        <f t="shared" si="23"/>
        <v>2</v>
      </c>
      <c r="Y35" s="219">
        <f t="shared" si="23"/>
        <v>2</v>
      </c>
      <c r="Z35" s="219">
        <f t="shared" si="24"/>
        <v>2</v>
      </c>
      <c r="AA35" s="219">
        <f t="shared" si="24"/>
        <v>2</v>
      </c>
      <c r="AB35" s="219">
        <f t="shared" si="24"/>
        <v>2</v>
      </c>
      <c r="AC35" s="219">
        <f t="shared" si="24"/>
        <v>2</v>
      </c>
      <c r="AD35" s="219">
        <f t="shared" si="24"/>
        <v>2</v>
      </c>
      <c r="AE35" s="219">
        <f t="shared" si="24"/>
        <v>2</v>
      </c>
      <c r="AF35" s="219">
        <f t="shared" si="24"/>
        <v>2</v>
      </c>
      <c r="AG35" s="219">
        <f t="shared" si="24"/>
        <v>2</v>
      </c>
      <c r="AH35" s="219">
        <f t="shared" si="24"/>
        <v>2</v>
      </c>
      <c r="AI35" s="219">
        <f t="shared" si="24"/>
        <v>2</v>
      </c>
      <c r="AJ35" s="219">
        <f t="shared" si="24"/>
        <v>2</v>
      </c>
      <c r="AK35" s="530">
        <f t="shared" si="24"/>
        <v>2</v>
      </c>
      <c r="AL35" s="219">
        <f t="shared" si="24"/>
        <v>2</v>
      </c>
    </row>
    <row r="36" spans="2:42"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530"/>
      <c r="AL36" s="219"/>
    </row>
    <row r="37" spans="2:42">
      <c r="B37" s="592" t="s">
        <v>561</v>
      </c>
      <c r="C37" s="591" t="s">
        <v>562</v>
      </c>
      <c r="D37" s="219"/>
      <c r="E37" s="219"/>
      <c r="F37" s="219"/>
      <c r="G37" s="219"/>
      <c r="H37" s="219">
        <v>2025</v>
      </c>
      <c r="I37" s="219">
        <v>2026</v>
      </c>
      <c r="J37" s="219">
        <v>2027</v>
      </c>
      <c r="K37" s="219">
        <v>2028</v>
      </c>
      <c r="L37" s="219">
        <v>2029</v>
      </c>
      <c r="M37" s="219">
        <v>2030</v>
      </c>
      <c r="N37" s="219">
        <v>2031</v>
      </c>
      <c r="O37" s="219">
        <v>2032</v>
      </c>
      <c r="P37" s="219">
        <v>2033</v>
      </c>
      <c r="Q37" s="219">
        <v>2034</v>
      </c>
      <c r="R37" s="219">
        <v>2035</v>
      </c>
      <c r="S37" s="219">
        <v>2036</v>
      </c>
      <c r="T37" s="219">
        <v>2037</v>
      </c>
      <c r="U37" s="219">
        <v>2038</v>
      </c>
      <c r="V37" s="219">
        <v>2039</v>
      </c>
      <c r="W37" s="219">
        <v>2040</v>
      </c>
      <c r="X37" s="219">
        <v>2041</v>
      </c>
      <c r="Y37" s="219">
        <v>2042</v>
      </c>
      <c r="Z37" s="219">
        <v>2043</v>
      </c>
      <c r="AA37" s="219">
        <v>2044</v>
      </c>
      <c r="AB37" s="219">
        <v>2045</v>
      </c>
      <c r="AC37" s="219">
        <v>2046</v>
      </c>
      <c r="AD37" s="219">
        <v>2047</v>
      </c>
      <c r="AE37" s="219">
        <v>2048</v>
      </c>
      <c r="AF37" s="219">
        <v>2049</v>
      </c>
      <c r="AG37" s="219">
        <v>2050</v>
      </c>
      <c r="AH37" s="219">
        <v>2051</v>
      </c>
      <c r="AI37" s="219">
        <v>2052</v>
      </c>
      <c r="AJ37" s="219">
        <v>2053</v>
      </c>
      <c r="AK37" s="530">
        <v>2054</v>
      </c>
      <c r="AL37" s="219">
        <v>2055</v>
      </c>
    </row>
    <row r="38" spans="2:42">
      <c r="B38" s="219" t="s">
        <v>559</v>
      </c>
      <c r="C38" s="593">
        <v>300000</v>
      </c>
      <c r="D38" s="219"/>
      <c r="E38" s="219"/>
      <c r="F38" s="219"/>
      <c r="G38" s="219"/>
      <c r="H38" s="246">
        <f>$C38*H34</f>
        <v>300000</v>
      </c>
      <c r="I38" s="246">
        <f t="shared" ref="I38:AL39" si="25">$C38*I34</f>
        <v>300000</v>
      </c>
      <c r="J38" s="246">
        <f t="shared" si="25"/>
        <v>300000</v>
      </c>
      <c r="K38" s="246">
        <f t="shared" si="25"/>
        <v>300000</v>
      </c>
      <c r="L38" s="246">
        <f t="shared" si="25"/>
        <v>300000</v>
      </c>
      <c r="M38" s="246">
        <f t="shared" si="25"/>
        <v>300000</v>
      </c>
      <c r="N38" s="246">
        <f t="shared" si="25"/>
        <v>300000</v>
      </c>
      <c r="O38" s="246">
        <f t="shared" si="25"/>
        <v>300000</v>
      </c>
      <c r="P38" s="246">
        <f t="shared" si="25"/>
        <v>300000</v>
      </c>
      <c r="Q38" s="246">
        <f t="shared" si="25"/>
        <v>300000</v>
      </c>
      <c r="R38" s="246">
        <f t="shared" si="25"/>
        <v>300000</v>
      </c>
      <c r="S38" s="246">
        <f t="shared" si="25"/>
        <v>300000</v>
      </c>
      <c r="T38" s="246">
        <f t="shared" si="25"/>
        <v>300000</v>
      </c>
      <c r="U38" s="246">
        <f t="shared" si="25"/>
        <v>300000</v>
      </c>
      <c r="V38" s="246">
        <f t="shared" si="25"/>
        <v>300000</v>
      </c>
      <c r="W38" s="246">
        <f t="shared" si="25"/>
        <v>300000</v>
      </c>
      <c r="X38" s="246">
        <f t="shared" si="25"/>
        <v>300000</v>
      </c>
      <c r="Y38" s="246">
        <f t="shared" si="25"/>
        <v>300000</v>
      </c>
      <c r="Z38" s="246">
        <f t="shared" si="25"/>
        <v>300000</v>
      </c>
      <c r="AA38" s="246">
        <f t="shared" si="25"/>
        <v>300000</v>
      </c>
      <c r="AB38" s="246">
        <f t="shared" si="25"/>
        <v>300000</v>
      </c>
      <c r="AC38" s="246">
        <f t="shared" si="25"/>
        <v>300000</v>
      </c>
      <c r="AD38" s="246">
        <f t="shared" si="25"/>
        <v>300000</v>
      </c>
      <c r="AE38" s="246">
        <f t="shared" si="25"/>
        <v>300000</v>
      </c>
      <c r="AF38" s="246">
        <f t="shared" si="25"/>
        <v>300000</v>
      </c>
      <c r="AG38" s="246">
        <f t="shared" si="25"/>
        <v>300000</v>
      </c>
      <c r="AH38" s="246">
        <f t="shared" si="25"/>
        <v>300000</v>
      </c>
      <c r="AI38" s="246">
        <f t="shared" si="25"/>
        <v>300000</v>
      </c>
      <c r="AJ38" s="246">
        <f t="shared" si="25"/>
        <v>300000</v>
      </c>
      <c r="AK38" s="531">
        <f t="shared" si="25"/>
        <v>300000</v>
      </c>
      <c r="AL38" s="243">
        <f t="shared" si="25"/>
        <v>300000</v>
      </c>
    </row>
    <row r="39" spans="2:42">
      <c r="B39" s="219" t="s">
        <v>560</v>
      </c>
      <c r="C39" s="594">
        <v>2000</v>
      </c>
      <c r="D39" s="219"/>
      <c r="E39" s="219"/>
      <c r="F39" s="219"/>
      <c r="G39" s="219"/>
      <c r="H39" s="246">
        <f>$C39*H35</f>
        <v>4000</v>
      </c>
      <c r="I39" s="246">
        <f t="shared" si="25"/>
        <v>4000</v>
      </c>
      <c r="J39" s="246">
        <f t="shared" si="25"/>
        <v>4000</v>
      </c>
      <c r="K39" s="246">
        <f t="shared" si="25"/>
        <v>4000</v>
      </c>
      <c r="L39" s="246">
        <f t="shared" si="25"/>
        <v>4000</v>
      </c>
      <c r="M39" s="246">
        <f t="shared" si="25"/>
        <v>4000</v>
      </c>
      <c r="N39" s="246">
        <f t="shared" si="25"/>
        <v>4000</v>
      </c>
      <c r="O39" s="246">
        <f t="shared" si="25"/>
        <v>4000</v>
      </c>
      <c r="P39" s="246">
        <f t="shared" si="25"/>
        <v>4000</v>
      </c>
      <c r="Q39" s="246">
        <f t="shared" si="25"/>
        <v>4000</v>
      </c>
      <c r="R39" s="246">
        <f t="shared" si="25"/>
        <v>4000</v>
      </c>
      <c r="S39" s="246">
        <f t="shared" si="25"/>
        <v>4000</v>
      </c>
      <c r="T39" s="246">
        <f t="shared" si="25"/>
        <v>4000</v>
      </c>
      <c r="U39" s="246">
        <f t="shared" si="25"/>
        <v>4000</v>
      </c>
      <c r="V39" s="246">
        <f t="shared" si="25"/>
        <v>4000</v>
      </c>
      <c r="W39" s="246">
        <f t="shared" si="25"/>
        <v>4000</v>
      </c>
      <c r="X39" s="246">
        <f t="shared" si="25"/>
        <v>4000</v>
      </c>
      <c r="Y39" s="246">
        <f t="shared" si="25"/>
        <v>4000</v>
      </c>
      <c r="Z39" s="246">
        <f t="shared" si="25"/>
        <v>4000</v>
      </c>
      <c r="AA39" s="246">
        <f t="shared" si="25"/>
        <v>4000</v>
      </c>
      <c r="AB39" s="246">
        <f t="shared" si="25"/>
        <v>4000</v>
      </c>
      <c r="AC39" s="246">
        <f t="shared" si="25"/>
        <v>4000</v>
      </c>
      <c r="AD39" s="246">
        <f t="shared" si="25"/>
        <v>4000</v>
      </c>
      <c r="AE39" s="246">
        <f t="shared" si="25"/>
        <v>4000</v>
      </c>
      <c r="AF39" s="246">
        <f t="shared" si="25"/>
        <v>4000</v>
      </c>
      <c r="AG39" s="246">
        <f t="shared" si="25"/>
        <v>4000</v>
      </c>
      <c r="AH39" s="246">
        <f t="shared" si="25"/>
        <v>4000</v>
      </c>
      <c r="AI39" s="246">
        <f t="shared" si="25"/>
        <v>4000</v>
      </c>
      <c r="AJ39" s="246">
        <f t="shared" si="25"/>
        <v>4000</v>
      </c>
      <c r="AK39" s="531">
        <f t="shared" si="25"/>
        <v>4000</v>
      </c>
      <c r="AL39" s="243">
        <f t="shared" si="25"/>
        <v>4000</v>
      </c>
    </row>
    <row r="40" spans="2:42">
      <c r="B40" s="219" t="s">
        <v>373</v>
      </c>
      <c r="C40" s="219"/>
      <c r="D40" s="219"/>
      <c r="E40" s="219"/>
      <c r="F40" s="219"/>
      <c r="G40" s="219"/>
      <c r="H40" s="247">
        <f>SUM(H38:H39)</f>
        <v>304000</v>
      </c>
      <c r="I40" s="247">
        <f>SUM(I38:I39)</f>
        <v>304000</v>
      </c>
      <c r="J40" s="247">
        <f t="shared" ref="J40:AL40" si="26">SUM(J38:J39)</f>
        <v>304000</v>
      </c>
      <c r="K40" s="247">
        <f t="shared" si="26"/>
        <v>304000</v>
      </c>
      <c r="L40" s="247">
        <f t="shared" si="26"/>
        <v>304000</v>
      </c>
      <c r="M40" s="247">
        <f t="shared" si="26"/>
        <v>304000</v>
      </c>
      <c r="N40" s="247">
        <f t="shared" si="26"/>
        <v>304000</v>
      </c>
      <c r="O40" s="247">
        <f t="shared" si="26"/>
        <v>304000</v>
      </c>
      <c r="P40" s="247">
        <f t="shared" si="26"/>
        <v>304000</v>
      </c>
      <c r="Q40" s="247">
        <f t="shared" si="26"/>
        <v>304000</v>
      </c>
      <c r="R40" s="247">
        <f t="shared" si="26"/>
        <v>304000</v>
      </c>
      <c r="S40" s="247">
        <f t="shared" si="26"/>
        <v>304000</v>
      </c>
      <c r="T40" s="247">
        <f t="shared" si="26"/>
        <v>304000</v>
      </c>
      <c r="U40" s="247">
        <f t="shared" si="26"/>
        <v>304000</v>
      </c>
      <c r="V40" s="247">
        <f t="shared" si="26"/>
        <v>304000</v>
      </c>
      <c r="W40" s="247">
        <f t="shared" si="26"/>
        <v>304000</v>
      </c>
      <c r="X40" s="247">
        <f t="shared" si="26"/>
        <v>304000</v>
      </c>
      <c r="Y40" s="247">
        <f t="shared" si="26"/>
        <v>304000</v>
      </c>
      <c r="Z40" s="247">
        <f t="shared" si="26"/>
        <v>304000</v>
      </c>
      <c r="AA40" s="247">
        <f t="shared" si="26"/>
        <v>304000</v>
      </c>
      <c r="AB40" s="247">
        <f t="shared" si="26"/>
        <v>304000</v>
      </c>
      <c r="AC40" s="247">
        <f t="shared" si="26"/>
        <v>304000</v>
      </c>
      <c r="AD40" s="247">
        <f t="shared" si="26"/>
        <v>304000</v>
      </c>
      <c r="AE40" s="247">
        <f t="shared" si="26"/>
        <v>304000</v>
      </c>
      <c r="AF40" s="247">
        <f t="shared" si="26"/>
        <v>304000</v>
      </c>
      <c r="AG40" s="247">
        <f t="shared" si="26"/>
        <v>304000</v>
      </c>
      <c r="AH40" s="247">
        <f t="shared" si="26"/>
        <v>304000</v>
      </c>
      <c r="AI40" s="247">
        <f t="shared" si="26"/>
        <v>304000</v>
      </c>
      <c r="AJ40" s="247">
        <f t="shared" si="26"/>
        <v>304000</v>
      </c>
      <c r="AK40" s="532">
        <f t="shared" si="26"/>
        <v>304000</v>
      </c>
      <c r="AL40" s="247">
        <f t="shared" si="26"/>
        <v>304000</v>
      </c>
    </row>
    <row r="41" spans="2:42"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530"/>
      <c r="AL41" s="219"/>
    </row>
    <row r="42" spans="2:42">
      <c r="B42" s="235" t="s">
        <v>96</v>
      </c>
      <c r="C42" s="219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530"/>
      <c r="AL42" s="219"/>
    </row>
    <row r="43" spans="2:42" hidden="1">
      <c r="B43" s="219" t="s">
        <v>563</v>
      </c>
      <c r="C43" s="596">
        <v>0.2</v>
      </c>
      <c r="D43" s="219"/>
      <c r="E43" s="219"/>
      <c r="F43" s="219"/>
      <c r="G43" s="219"/>
      <c r="H43" s="243">
        <f>H$40*(1+$C43)</f>
        <v>364800</v>
      </c>
      <c r="I43" s="243">
        <f t="shared" ref="I43:AL45" si="27">I$40*(1+$C43)</f>
        <v>364800</v>
      </c>
      <c r="J43" s="243">
        <f t="shared" si="27"/>
        <v>364800</v>
      </c>
      <c r="K43" s="243">
        <f t="shared" si="27"/>
        <v>364800</v>
      </c>
      <c r="L43" s="243">
        <f t="shared" si="27"/>
        <v>364800</v>
      </c>
      <c r="M43" s="243">
        <f t="shared" si="27"/>
        <v>364800</v>
      </c>
      <c r="N43" s="243">
        <f t="shared" si="27"/>
        <v>364800</v>
      </c>
      <c r="O43" s="243">
        <f t="shared" si="27"/>
        <v>364800</v>
      </c>
      <c r="P43" s="243">
        <f t="shared" si="27"/>
        <v>364800</v>
      </c>
      <c r="Q43" s="243">
        <f t="shared" si="27"/>
        <v>364800</v>
      </c>
      <c r="R43" s="243">
        <f t="shared" si="27"/>
        <v>364800</v>
      </c>
      <c r="S43" s="243">
        <f t="shared" si="27"/>
        <v>364800</v>
      </c>
      <c r="T43" s="243">
        <f t="shared" si="27"/>
        <v>364800</v>
      </c>
      <c r="U43" s="243">
        <f t="shared" si="27"/>
        <v>364800</v>
      </c>
      <c r="V43" s="243">
        <f t="shared" si="27"/>
        <v>364800</v>
      </c>
      <c r="W43" s="243">
        <f t="shared" si="27"/>
        <v>364800</v>
      </c>
      <c r="X43" s="243">
        <f t="shared" si="27"/>
        <v>364800</v>
      </c>
      <c r="Y43" s="243">
        <f t="shared" si="27"/>
        <v>364800</v>
      </c>
      <c r="Z43" s="243">
        <f t="shared" si="27"/>
        <v>364800</v>
      </c>
      <c r="AA43" s="243">
        <f t="shared" si="27"/>
        <v>364800</v>
      </c>
      <c r="AB43" s="243">
        <f t="shared" si="27"/>
        <v>364800</v>
      </c>
      <c r="AC43" s="243">
        <f t="shared" si="27"/>
        <v>364800</v>
      </c>
      <c r="AD43" s="243">
        <f t="shared" si="27"/>
        <v>364800</v>
      </c>
      <c r="AE43" s="243">
        <f t="shared" si="27"/>
        <v>364800</v>
      </c>
      <c r="AF43" s="243">
        <f t="shared" si="27"/>
        <v>364800</v>
      </c>
      <c r="AG43" s="243">
        <f t="shared" si="27"/>
        <v>364800</v>
      </c>
      <c r="AH43" s="243">
        <f t="shared" si="27"/>
        <v>364800</v>
      </c>
      <c r="AI43" s="243">
        <f t="shared" si="27"/>
        <v>364800</v>
      </c>
      <c r="AJ43" s="243">
        <f t="shared" si="27"/>
        <v>364800</v>
      </c>
      <c r="AK43" s="531">
        <f t="shared" si="27"/>
        <v>364800</v>
      </c>
      <c r="AL43" s="243">
        <f t="shared" si="27"/>
        <v>364800</v>
      </c>
    </row>
    <row r="44" spans="2:42">
      <c r="B44" s="219" t="s">
        <v>564</v>
      </c>
      <c r="C44" s="596">
        <v>0</v>
      </c>
      <c r="D44" s="219"/>
      <c r="E44" s="219"/>
      <c r="F44" s="219"/>
      <c r="G44" s="219"/>
      <c r="H44" s="243">
        <f>H$40*(1+$C44)</f>
        <v>304000</v>
      </c>
      <c r="I44" s="243">
        <f t="shared" si="27"/>
        <v>304000</v>
      </c>
      <c r="J44" s="243">
        <f t="shared" si="27"/>
        <v>304000</v>
      </c>
      <c r="K44" s="243">
        <f t="shared" si="27"/>
        <v>304000</v>
      </c>
      <c r="L44" s="243">
        <f t="shared" si="27"/>
        <v>304000</v>
      </c>
      <c r="M44" s="243">
        <f t="shared" si="27"/>
        <v>304000</v>
      </c>
      <c r="N44" s="243">
        <f t="shared" si="27"/>
        <v>304000</v>
      </c>
      <c r="O44" s="243">
        <f t="shared" si="27"/>
        <v>304000</v>
      </c>
      <c r="P44" s="243">
        <f t="shared" si="27"/>
        <v>304000</v>
      </c>
      <c r="Q44" s="243">
        <f t="shared" si="27"/>
        <v>304000</v>
      </c>
      <c r="R44" s="243">
        <f t="shared" si="27"/>
        <v>304000</v>
      </c>
      <c r="S44" s="243">
        <f t="shared" si="27"/>
        <v>304000</v>
      </c>
      <c r="T44" s="243">
        <f t="shared" si="27"/>
        <v>304000</v>
      </c>
      <c r="U44" s="243">
        <f t="shared" si="27"/>
        <v>304000</v>
      </c>
      <c r="V44" s="243">
        <f t="shared" si="27"/>
        <v>304000</v>
      </c>
      <c r="W44" s="243">
        <f t="shared" si="27"/>
        <v>304000</v>
      </c>
      <c r="X44" s="243">
        <f t="shared" si="27"/>
        <v>304000</v>
      </c>
      <c r="Y44" s="243">
        <f t="shared" si="27"/>
        <v>304000</v>
      </c>
      <c r="Z44" s="243">
        <f t="shared" si="27"/>
        <v>304000</v>
      </c>
      <c r="AA44" s="243">
        <f t="shared" si="27"/>
        <v>304000</v>
      </c>
      <c r="AB44" s="243">
        <f t="shared" si="27"/>
        <v>304000</v>
      </c>
      <c r="AC44" s="243">
        <f t="shared" si="27"/>
        <v>304000</v>
      </c>
      <c r="AD44" s="243">
        <f t="shared" si="27"/>
        <v>304000</v>
      </c>
      <c r="AE44" s="243">
        <f t="shared" si="27"/>
        <v>304000</v>
      </c>
      <c r="AF44" s="243">
        <f t="shared" si="27"/>
        <v>304000</v>
      </c>
      <c r="AG44" s="243">
        <f t="shared" si="27"/>
        <v>304000</v>
      </c>
      <c r="AH44" s="243">
        <f t="shared" si="27"/>
        <v>304000</v>
      </c>
      <c r="AI44" s="243">
        <f t="shared" si="27"/>
        <v>304000</v>
      </c>
      <c r="AJ44" s="243">
        <f t="shared" si="27"/>
        <v>304000</v>
      </c>
      <c r="AK44" s="531">
        <f t="shared" si="27"/>
        <v>304000</v>
      </c>
      <c r="AL44" s="243">
        <f t="shared" si="27"/>
        <v>304000</v>
      </c>
    </row>
    <row r="45" spans="2:42" hidden="1">
      <c r="B45" s="219" t="s">
        <v>565</v>
      </c>
      <c r="C45" s="596">
        <v>-0.2</v>
      </c>
      <c r="D45" s="219"/>
      <c r="E45" s="219"/>
      <c r="F45" s="219"/>
      <c r="G45" s="219"/>
      <c r="H45" s="243">
        <f>H$40*(1+$C45)</f>
        <v>243200</v>
      </c>
      <c r="I45" s="243">
        <f t="shared" si="27"/>
        <v>243200</v>
      </c>
      <c r="J45" s="243">
        <f t="shared" si="27"/>
        <v>243200</v>
      </c>
      <c r="K45" s="243">
        <f t="shared" si="27"/>
        <v>243200</v>
      </c>
      <c r="L45" s="243">
        <f t="shared" si="27"/>
        <v>243200</v>
      </c>
      <c r="M45" s="243">
        <f t="shared" si="27"/>
        <v>243200</v>
      </c>
      <c r="N45" s="243">
        <f t="shared" si="27"/>
        <v>243200</v>
      </c>
      <c r="O45" s="243">
        <f t="shared" si="27"/>
        <v>243200</v>
      </c>
      <c r="P45" s="243">
        <f t="shared" si="27"/>
        <v>243200</v>
      </c>
      <c r="Q45" s="243">
        <f t="shared" si="27"/>
        <v>243200</v>
      </c>
      <c r="R45" s="243">
        <f t="shared" si="27"/>
        <v>243200</v>
      </c>
      <c r="S45" s="243">
        <f t="shared" si="27"/>
        <v>243200</v>
      </c>
      <c r="T45" s="243">
        <f t="shared" si="27"/>
        <v>243200</v>
      </c>
      <c r="U45" s="243">
        <f t="shared" si="27"/>
        <v>243200</v>
      </c>
      <c r="V45" s="243">
        <f t="shared" si="27"/>
        <v>243200</v>
      </c>
      <c r="W45" s="243">
        <f t="shared" si="27"/>
        <v>243200</v>
      </c>
      <c r="X45" s="243">
        <f t="shared" si="27"/>
        <v>243200</v>
      </c>
      <c r="Y45" s="243">
        <f t="shared" si="27"/>
        <v>243200</v>
      </c>
      <c r="Z45" s="243">
        <f t="shared" si="27"/>
        <v>243200</v>
      </c>
      <c r="AA45" s="243">
        <f t="shared" si="27"/>
        <v>243200</v>
      </c>
      <c r="AB45" s="243">
        <f t="shared" si="27"/>
        <v>243200</v>
      </c>
      <c r="AC45" s="243">
        <f t="shared" si="27"/>
        <v>243200</v>
      </c>
      <c r="AD45" s="243">
        <f t="shared" si="27"/>
        <v>243200</v>
      </c>
      <c r="AE45" s="243">
        <f t="shared" si="27"/>
        <v>243200</v>
      </c>
      <c r="AF45" s="243">
        <f t="shared" si="27"/>
        <v>243200</v>
      </c>
      <c r="AG45" s="243">
        <f t="shared" si="27"/>
        <v>243200</v>
      </c>
      <c r="AH45" s="243">
        <f t="shared" si="27"/>
        <v>243200</v>
      </c>
      <c r="AI45" s="243">
        <f t="shared" si="27"/>
        <v>243200</v>
      </c>
      <c r="AJ45" s="243">
        <f t="shared" si="27"/>
        <v>243200</v>
      </c>
      <c r="AK45" s="531">
        <f t="shared" si="27"/>
        <v>243200</v>
      </c>
      <c r="AL45" s="243">
        <f t="shared" si="27"/>
        <v>243200</v>
      </c>
    </row>
    <row r="50" spans="2:42" s="587" customFormat="1">
      <c r="B50" s="585" t="s">
        <v>566</v>
      </c>
      <c r="C50" s="585"/>
      <c r="D50" s="585"/>
      <c r="E50" s="585"/>
      <c r="F50" s="585"/>
      <c r="G50" s="585"/>
      <c r="H50" s="585"/>
      <c r="I50" s="585"/>
      <c r="J50" s="585"/>
      <c r="K50" s="585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  <c r="Z50" s="585"/>
      <c r="AA50" s="585"/>
      <c r="AB50" s="585"/>
      <c r="AC50" s="585"/>
      <c r="AD50" s="585"/>
      <c r="AE50" s="585"/>
      <c r="AF50" s="585"/>
      <c r="AG50" s="585"/>
      <c r="AH50" s="585"/>
      <c r="AI50" s="585"/>
      <c r="AJ50" s="585"/>
      <c r="AK50" s="586"/>
      <c r="AL50" s="585"/>
      <c r="AM50" s="585"/>
      <c r="AN50" s="585"/>
      <c r="AO50" s="585"/>
      <c r="AP50" s="585"/>
    </row>
    <row r="51" spans="2:42">
      <c r="B51" s="235" t="s">
        <v>567</v>
      </c>
      <c r="C51" s="219"/>
      <c r="D51" s="219"/>
      <c r="E51" s="219"/>
      <c r="F51" s="219"/>
      <c r="G51" s="219"/>
      <c r="H51" s="219"/>
      <c r="I51" s="219"/>
    </row>
    <row r="52" spans="2:42">
      <c r="B52" s="235"/>
      <c r="C52" s="219"/>
      <c r="D52" s="249">
        <v>2022</v>
      </c>
      <c r="E52" s="249">
        <v>2023</v>
      </c>
      <c r="F52" s="219"/>
      <c r="G52" s="219"/>
      <c r="H52" s="219"/>
      <c r="I52" s="219"/>
    </row>
    <row r="53" spans="2:42">
      <c r="B53" s="219" t="s">
        <v>568</v>
      </c>
      <c r="C53" s="219"/>
      <c r="D53" s="247">
        <f>E95</f>
        <v>866300</v>
      </c>
      <c r="E53" s="247">
        <f>F95</f>
        <v>869245.42</v>
      </c>
      <c r="F53" s="219"/>
      <c r="G53" s="219"/>
      <c r="H53" s="219"/>
      <c r="I53" s="219"/>
    </row>
    <row r="54" spans="2:42">
      <c r="B54" s="219" t="s">
        <v>569</v>
      </c>
      <c r="C54" s="219"/>
      <c r="D54" s="247">
        <f>C60</f>
        <v>116417.97046318039</v>
      </c>
      <c r="E54" s="247">
        <f>D60</f>
        <v>173756</v>
      </c>
      <c r="F54" s="219"/>
      <c r="G54" s="219"/>
      <c r="H54" s="219"/>
      <c r="I54" s="219"/>
    </row>
    <row r="55" spans="2:42">
      <c r="B55" s="235" t="s">
        <v>570</v>
      </c>
      <c r="C55" s="235"/>
      <c r="D55" s="250">
        <f>D54/D53</f>
        <v>0.13438528276945677</v>
      </c>
      <c r="E55" s="250">
        <f>E54/E53</f>
        <v>0.19989291401730938</v>
      </c>
      <c r="F55" s="219"/>
      <c r="G55" s="219"/>
      <c r="H55" s="219"/>
      <c r="I55" s="219"/>
    </row>
    <row r="56" spans="2:42">
      <c r="B56" s="219"/>
      <c r="C56" s="219"/>
      <c r="D56" s="219"/>
      <c r="E56" s="219"/>
      <c r="F56" s="219"/>
      <c r="G56" s="219"/>
      <c r="H56" s="219"/>
      <c r="I56" s="219"/>
    </row>
    <row r="57" spans="2:42">
      <c r="B57" s="219"/>
      <c r="C57" s="219"/>
      <c r="D57" s="219"/>
      <c r="E57" s="219"/>
      <c r="F57" s="219"/>
      <c r="G57" s="219"/>
      <c r="H57" s="219"/>
      <c r="I57" s="219"/>
    </row>
    <row r="58" spans="2:42">
      <c r="B58" s="235" t="s">
        <v>569</v>
      </c>
      <c r="C58" s="219"/>
      <c r="D58" s="219"/>
      <c r="E58" s="219"/>
      <c r="F58" s="247"/>
      <c r="G58" s="219"/>
      <c r="H58" s="219"/>
      <c r="I58" s="219"/>
    </row>
    <row r="59" spans="2:42">
      <c r="B59" s="235"/>
      <c r="C59" s="219" t="s">
        <v>571</v>
      </c>
      <c r="D59" s="219" t="s">
        <v>572</v>
      </c>
      <c r="E59" s="219"/>
      <c r="F59" s="251" t="s">
        <v>573</v>
      </c>
      <c r="G59" s="251" t="s">
        <v>574</v>
      </c>
      <c r="H59" s="251" t="s">
        <v>575</v>
      </c>
      <c r="I59" s="219"/>
    </row>
    <row r="60" spans="2:42">
      <c r="B60" s="234" t="s">
        <v>373</v>
      </c>
      <c r="C60" s="252">
        <f>SUM(C61:C72)</f>
        <v>116417.97046318039</v>
      </c>
      <c r="D60" s="252">
        <f>SUM(D61:D72)</f>
        <v>173756</v>
      </c>
      <c r="E60" s="219"/>
      <c r="F60" s="252">
        <f>SUM(F61:F72)</f>
        <v>1349172</v>
      </c>
      <c r="G60" s="252">
        <f>SUM(G61:G72)</f>
        <v>664411</v>
      </c>
      <c r="H60" s="252">
        <f>SUM(H61:H72)</f>
        <v>1324457</v>
      </c>
      <c r="I60" s="253">
        <f>1-H60/F60</f>
        <v>1.8318642841683608E-2</v>
      </c>
    </row>
    <row r="61" spans="2:42">
      <c r="B61" s="254" t="s">
        <v>576</v>
      </c>
      <c r="C61" s="239">
        <v>6158</v>
      </c>
      <c r="D61" s="239">
        <v>13849</v>
      </c>
      <c r="E61" s="219"/>
      <c r="F61" s="239">
        <v>116209</v>
      </c>
      <c r="G61" s="239">
        <v>56277</v>
      </c>
      <c r="H61" s="239">
        <v>104161</v>
      </c>
      <c r="I61" s="253">
        <f t="shared" ref="I61:I72" si="28">1-H61/F61</f>
        <v>0.10367527472054661</v>
      </c>
    </row>
    <row r="62" spans="2:42">
      <c r="B62" s="254" t="s">
        <v>577</v>
      </c>
      <c r="C62" s="239">
        <v>6586</v>
      </c>
      <c r="D62" s="239">
        <v>6699</v>
      </c>
      <c r="E62" s="219"/>
      <c r="F62" s="239">
        <v>57285</v>
      </c>
      <c r="G62" s="239">
        <v>39775</v>
      </c>
      <c r="H62" s="239">
        <v>81522</v>
      </c>
      <c r="I62" s="253">
        <f t="shared" si="28"/>
        <v>-0.42309505106048695</v>
      </c>
    </row>
    <row r="63" spans="2:42">
      <c r="B63" s="254" t="s">
        <v>578</v>
      </c>
      <c r="C63" s="239">
        <v>7239</v>
      </c>
      <c r="D63" s="239">
        <v>10865</v>
      </c>
      <c r="E63" s="219"/>
      <c r="F63" s="239">
        <v>90189</v>
      </c>
      <c r="G63" s="239">
        <v>36656</v>
      </c>
      <c r="H63" s="239">
        <v>93743</v>
      </c>
      <c r="I63" s="253">
        <f t="shared" si="28"/>
        <v>-3.9406136003282022E-2</v>
      </c>
    </row>
    <row r="64" spans="2:42">
      <c r="B64" s="254" t="s">
        <v>579</v>
      </c>
      <c r="C64" s="239">
        <v>6840</v>
      </c>
      <c r="D64" s="239">
        <v>15811</v>
      </c>
      <c r="E64" s="219"/>
      <c r="F64" s="239">
        <v>131812</v>
      </c>
      <c r="G64" s="239">
        <v>56484</v>
      </c>
      <c r="H64" s="239">
        <v>103354</v>
      </c>
      <c r="I64" s="253">
        <f t="shared" si="28"/>
        <v>0.21589840075258704</v>
      </c>
    </row>
    <row r="65" spans="2:9">
      <c r="B65" s="254" t="s">
        <v>580</v>
      </c>
      <c r="C65" s="239">
        <v>7688</v>
      </c>
      <c r="D65" s="239">
        <v>13365</v>
      </c>
      <c r="E65" s="219"/>
      <c r="F65" s="239">
        <v>105812</v>
      </c>
      <c r="G65" s="239">
        <v>80606</v>
      </c>
      <c r="H65" s="239">
        <v>129713</v>
      </c>
      <c r="I65" s="253">
        <f t="shared" si="28"/>
        <v>-0.22588175254224474</v>
      </c>
    </row>
    <row r="66" spans="2:9">
      <c r="B66" s="254" t="s">
        <v>581</v>
      </c>
      <c r="C66" s="239">
        <v>8640</v>
      </c>
      <c r="D66" s="239">
        <v>12936</v>
      </c>
      <c r="E66" s="219"/>
      <c r="F66" s="239">
        <v>100605</v>
      </c>
      <c r="G66" s="239">
        <v>79130</v>
      </c>
      <c r="H66" s="239">
        <v>93490</v>
      </c>
      <c r="I66" s="253">
        <f t="shared" si="28"/>
        <v>7.0722131106803809E-2</v>
      </c>
    </row>
    <row r="67" spans="2:9">
      <c r="B67" s="254" t="s">
        <v>582</v>
      </c>
      <c r="C67" s="239">
        <v>18887</v>
      </c>
      <c r="D67" s="239">
        <v>24311</v>
      </c>
      <c r="E67" s="219"/>
      <c r="F67" s="239">
        <v>192927</v>
      </c>
      <c r="G67" s="239">
        <v>85049</v>
      </c>
      <c r="H67" s="239">
        <v>117203</v>
      </c>
      <c r="I67" s="253">
        <f t="shared" si="28"/>
        <v>0.39250079045442055</v>
      </c>
    </row>
    <row r="68" spans="2:9">
      <c r="B68" s="254" t="s">
        <v>583</v>
      </c>
      <c r="C68" s="239">
        <v>12370</v>
      </c>
      <c r="D68" s="239">
        <v>16595</v>
      </c>
      <c r="E68" s="219"/>
      <c r="F68" s="239">
        <v>117003</v>
      </c>
      <c r="G68" s="239">
        <v>63858</v>
      </c>
      <c r="H68" s="239">
        <v>134808</v>
      </c>
      <c r="I68" s="253">
        <f t="shared" si="28"/>
        <v>-0.15217558524140418</v>
      </c>
    </row>
    <row r="69" spans="2:9">
      <c r="B69" s="254" t="s">
        <v>584</v>
      </c>
      <c r="C69" s="239">
        <v>11473</v>
      </c>
      <c r="D69" s="239">
        <v>13748</v>
      </c>
      <c r="E69" s="219"/>
      <c r="F69" s="239">
        <v>104875</v>
      </c>
      <c r="G69" s="239">
        <v>60370</v>
      </c>
      <c r="H69" s="239">
        <v>114999</v>
      </c>
      <c r="I69" s="253">
        <f t="shared" si="28"/>
        <v>-9.6533969010726972E-2</v>
      </c>
    </row>
    <row r="70" spans="2:9">
      <c r="B70" s="254" t="s">
        <v>585</v>
      </c>
      <c r="C70" s="255">
        <f>AVERAGE($C$61:$C$69)/AVERAGE($D$61:$D$69)*D70</f>
        <v>14391.109300275395</v>
      </c>
      <c r="D70" s="239">
        <v>21479</v>
      </c>
      <c r="E70" s="219"/>
      <c r="F70" s="239">
        <v>157477</v>
      </c>
      <c r="G70" s="239">
        <v>51449</v>
      </c>
      <c r="H70" s="239">
        <v>160741</v>
      </c>
      <c r="I70" s="256">
        <f t="shared" si="28"/>
        <v>-2.0726836299904017E-2</v>
      </c>
    </row>
    <row r="71" spans="2:9">
      <c r="B71" s="254" t="s">
        <v>586</v>
      </c>
      <c r="C71" s="255">
        <f>AVERAGE($C$61:$C$69)/AVERAGE($D$61:$D$69)*D71</f>
        <v>7642.78522222829</v>
      </c>
      <c r="D71" s="239">
        <v>11407</v>
      </c>
      <c r="E71" s="219"/>
      <c r="F71" s="239">
        <v>82293</v>
      </c>
      <c r="G71" s="239">
        <v>43750</v>
      </c>
      <c r="H71" s="239">
        <v>94217</v>
      </c>
      <c r="I71" s="256">
        <f t="shared" si="28"/>
        <v>-0.14489689280983797</v>
      </c>
    </row>
    <row r="72" spans="2:9">
      <c r="B72" s="254" t="s">
        <v>587</v>
      </c>
      <c r="C72" s="255">
        <f>AVERAGE($C$61:$C$69)/AVERAGE($D$61:$D$69)*D72</f>
        <v>8503.0759406767102</v>
      </c>
      <c r="D72" s="239">
        <v>12691</v>
      </c>
      <c r="E72" s="219"/>
      <c r="F72" s="239">
        <v>92685</v>
      </c>
      <c r="G72" s="239">
        <v>11007</v>
      </c>
      <c r="H72" s="239">
        <v>96506</v>
      </c>
      <c r="I72" s="256">
        <f t="shared" si="28"/>
        <v>-4.1225656794519061E-2</v>
      </c>
    </row>
    <row r="73" spans="2:9">
      <c r="B73" s="219" t="s">
        <v>588</v>
      </c>
      <c r="C73" s="219"/>
      <c r="D73" s="219"/>
      <c r="E73" s="219"/>
      <c r="F73" s="219"/>
      <c r="G73" s="219"/>
      <c r="H73" s="219"/>
      <c r="I73" s="219"/>
    </row>
    <row r="74" spans="2:9">
      <c r="B74" s="219"/>
      <c r="C74" s="219"/>
      <c r="D74" s="219"/>
      <c r="E74" s="219"/>
      <c r="F74" s="219"/>
      <c r="G74" s="219"/>
      <c r="H74" s="219"/>
      <c r="I74" s="219"/>
    </row>
    <row r="75" spans="2:9">
      <c r="B75" s="219" t="s">
        <v>589</v>
      </c>
      <c r="C75" s="257">
        <v>68192044.120000005</v>
      </c>
      <c r="D75" s="219"/>
      <c r="E75" s="219"/>
      <c r="F75" s="219"/>
      <c r="G75" s="219"/>
      <c r="H75" s="219"/>
      <c r="I75" s="219"/>
    </row>
    <row r="76" spans="2:9">
      <c r="B76" s="219" t="s">
        <v>590</v>
      </c>
      <c r="C76" s="257">
        <v>30609562.390000001</v>
      </c>
      <c r="D76" s="219"/>
      <c r="E76" s="219"/>
      <c r="F76" s="219"/>
      <c r="G76" s="219"/>
      <c r="H76" s="219"/>
      <c r="I76" s="219"/>
    </row>
    <row r="77" spans="2:9">
      <c r="B77" s="219" t="s">
        <v>591</v>
      </c>
      <c r="C77" s="257">
        <v>37582481.729999997</v>
      </c>
      <c r="D77" s="219"/>
      <c r="E77" s="219"/>
      <c r="F77" s="219"/>
      <c r="G77" s="219"/>
      <c r="H77" s="219"/>
      <c r="I77" s="219"/>
    </row>
    <row r="78" spans="2:9">
      <c r="B78" s="219" t="s">
        <v>592</v>
      </c>
      <c r="C78" s="258">
        <v>3.4099999999999998E-3</v>
      </c>
      <c r="D78" s="219" t="s">
        <v>593</v>
      </c>
      <c r="E78" s="219"/>
      <c r="F78" s="219"/>
      <c r="G78" s="219"/>
      <c r="H78" s="219"/>
      <c r="I78" s="219"/>
    </row>
    <row r="79" spans="2:9">
      <c r="B79" s="219" t="s">
        <v>594</v>
      </c>
      <c r="C79" s="219">
        <v>60</v>
      </c>
      <c r="D79" s="219" t="s">
        <v>14</v>
      </c>
      <c r="E79" s="219"/>
      <c r="F79" s="219"/>
      <c r="G79" s="219"/>
      <c r="H79" s="219"/>
      <c r="I79" s="219"/>
    </row>
    <row r="80" spans="2:9">
      <c r="B80" s="219"/>
      <c r="C80" s="219"/>
      <c r="D80" s="219"/>
      <c r="E80" s="219"/>
      <c r="F80" s="219"/>
      <c r="G80" s="219"/>
      <c r="H80" s="219"/>
      <c r="I80" s="219"/>
    </row>
    <row r="81" spans="2:38">
      <c r="B81" s="259" t="s">
        <v>595</v>
      </c>
      <c r="C81" s="259" t="s">
        <v>596</v>
      </c>
      <c r="D81" s="219"/>
      <c r="E81" s="219"/>
      <c r="F81" s="219"/>
      <c r="G81" s="219"/>
      <c r="H81" s="219"/>
      <c r="I81" s="219"/>
    </row>
    <row r="82" spans="2:38">
      <c r="B82" s="238" t="s">
        <v>597</v>
      </c>
      <c r="C82" s="238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530"/>
      <c r="AL82" s="219"/>
    </row>
    <row r="83" spans="2:38">
      <c r="B83" s="238" t="s">
        <v>56</v>
      </c>
      <c r="C83" s="238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530"/>
      <c r="AL83" s="219"/>
    </row>
    <row r="84" spans="2:38">
      <c r="B84" s="238" t="s">
        <v>598</v>
      </c>
      <c r="C84" s="238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530"/>
      <c r="AL84" s="219"/>
    </row>
    <row r="85" spans="2:38">
      <c r="B85" s="238" t="s">
        <v>599</v>
      </c>
      <c r="C85" s="238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530"/>
      <c r="AL85" s="219"/>
    </row>
    <row r="86" spans="2:38">
      <c r="B86" s="238" t="s">
        <v>600</v>
      </c>
      <c r="C86" s="238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530"/>
      <c r="AL86" s="219"/>
    </row>
    <row r="87" spans="2:38">
      <c r="B87" s="238" t="s">
        <v>601</v>
      </c>
      <c r="C87" s="238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530"/>
      <c r="AL87" s="219"/>
    </row>
    <row r="88" spans="2:38">
      <c r="B88" s="238" t="s">
        <v>602</v>
      </c>
      <c r="C88" s="238"/>
      <c r="D88" s="219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530"/>
      <c r="AL88" s="219"/>
    </row>
    <row r="89" spans="2:38">
      <c r="B89" s="238" t="s">
        <v>603</v>
      </c>
      <c r="C89" s="238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530"/>
      <c r="AL89" s="219"/>
    </row>
    <row r="90" spans="2:38">
      <c r="B90" s="238" t="s">
        <v>604</v>
      </c>
      <c r="C90" s="238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19"/>
      <c r="AJ90" s="219"/>
      <c r="AK90" s="530"/>
      <c r="AL90" s="219"/>
    </row>
    <row r="91" spans="2:38">
      <c r="B91" s="238" t="s">
        <v>605</v>
      </c>
      <c r="C91" s="238"/>
      <c r="D91" s="219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19"/>
      <c r="AJ91" s="219"/>
      <c r="AK91" s="530"/>
      <c r="AL91" s="219"/>
    </row>
    <row r="92" spans="2:38">
      <c r="B92" s="238" t="s">
        <v>606</v>
      </c>
      <c r="C92" s="238"/>
      <c r="D92" s="219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19"/>
      <c r="AJ92" s="219"/>
      <c r="AK92" s="530"/>
      <c r="AL92" s="219"/>
    </row>
    <row r="93" spans="2:38">
      <c r="B93" s="238" t="s">
        <v>607</v>
      </c>
      <c r="C93" s="238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530"/>
      <c r="AL93" s="219"/>
    </row>
    <row r="94" spans="2:38">
      <c r="B94" s="238" t="s">
        <v>608</v>
      </c>
      <c r="C94" s="238"/>
      <c r="D94" s="219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530"/>
      <c r="AL94" s="219"/>
    </row>
    <row r="95" spans="2:38">
      <c r="B95" s="260" t="s">
        <v>568</v>
      </c>
      <c r="C95" s="260"/>
      <c r="D95" s="260"/>
      <c r="E95" s="261">
        <v>866300</v>
      </c>
      <c r="F95" s="261">
        <f>E95*(1+F96)</f>
        <v>869245.42</v>
      </c>
      <c r="G95" s="261">
        <f t="shared" ref="G95:AL95" si="29">F95*(1+G96)</f>
        <v>872200.85442800005</v>
      </c>
      <c r="H95" s="261">
        <f t="shared" si="29"/>
        <v>875166.33733305533</v>
      </c>
      <c r="I95" s="261">
        <f t="shared" si="29"/>
        <v>878141.90287998773</v>
      </c>
      <c r="J95" s="261">
        <f t="shared" si="29"/>
        <v>881127.58534977969</v>
      </c>
      <c r="K95" s="261">
        <f t="shared" si="29"/>
        <v>884123.41913996905</v>
      </c>
      <c r="L95" s="261">
        <f t="shared" si="29"/>
        <v>887129.43876504502</v>
      </c>
      <c r="M95" s="261">
        <f t="shared" si="29"/>
        <v>890145.67885684629</v>
      </c>
      <c r="N95" s="261">
        <f t="shared" si="29"/>
        <v>893172.17416495958</v>
      </c>
      <c r="O95" s="261">
        <f t="shared" si="29"/>
        <v>896208.95955712046</v>
      </c>
      <c r="P95" s="261">
        <f t="shared" si="29"/>
        <v>899256.07001961477</v>
      </c>
      <c r="Q95" s="261">
        <f t="shared" si="29"/>
        <v>902313.54065768153</v>
      </c>
      <c r="R95" s="261">
        <f t="shared" si="29"/>
        <v>905381.40669591771</v>
      </c>
      <c r="S95" s="261">
        <f t="shared" si="29"/>
        <v>908459.70347868395</v>
      </c>
      <c r="T95" s="261">
        <f t="shared" si="29"/>
        <v>911548.46647051151</v>
      </c>
      <c r="U95" s="261">
        <f t="shared" si="29"/>
        <v>914647.7312565113</v>
      </c>
      <c r="V95" s="261">
        <f t="shared" si="29"/>
        <v>917757.53354278347</v>
      </c>
      <c r="W95" s="261">
        <f t="shared" si="29"/>
        <v>920877.909156829</v>
      </c>
      <c r="X95" s="261">
        <f t="shared" si="29"/>
        <v>924008.89404796227</v>
      </c>
      <c r="Y95" s="261">
        <f t="shared" si="29"/>
        <v>927150.52428772545</v>
      </c>
      <c r="Z95" s="261">
        <f t="shared" si="29"/>
        <v>930302.83607030381</v>
      </c>
      <c r="AA95" s="261">
        <f t="shared" si="29"/>
        <v>933465.8657129429</v>
      </c>
      <c r="AB95" s="261">
        <f t="shared" si="29"/>
        <v>936639.64965636702</v>
      </c>
      <c r="AC95" s="261">
        <f t="shared" si="29"/>
        <v>939824.2244651987</v>
      </c>
      <c r="AD95" s="261">
        <f t="shared" si="29"/>
        <v>943019.62682838039</v>
      </c>
      <c r="AE95" s="261">
        <f t="shared" si="29"/>
        <v>946225.89355959697</v>
      </c>
      <c r="AF95" s="261">
        <f t="shared" si="29"/>
        <v>949443.06159769965</v>
      </c>
      <c r="AG95" s="261">
        <f t="shared" si="29"/>
        <v>952671.1680071319</v>
      </c>
      <c r="AH95" s="261">
        <f t="shared" si="29"/>
        <v>955910.24997835618</v>
      </c>
      <c r="AI95" s="261">
        <f t="shared" si="29"/>
        <v>959160.3448282826</v>
      </c>
      <c r="AJ95" s="261">
        <f t="shared" si="29"/>
        <v>962421.49000069883</v>
      </c>
      <c r="AK95" s="534">
        <f t="shared" si="29"/>
        <v>965693.72306670132</v>
      </c>
      <c r="AL95" s="572">
        <f t="shared" si="29"/>
        <v>968977.08172512823</v>
      </c>
    </row>
    <row r="96" spans="2:38">
      <c r="B96" s="219" t="s">
        <v>609</v>
      </c>
      <c r="C96" s="219"/>
      <c r="D96" s="219"/>
      <c r="E96" s="219"/>
      <c r="F96" s="258">
        <v>3.3999999999999998E-3</v>
      </c>
      <c r="G96" s="258">
        <v>3.3999999999999998E-3</v>
      </c>
      <c r="H96" s="258">
        <v>3.3999999999999998E-3</v>
      </c>
      <c r="I96" s="258">
        <v>3.3999999999999998E-3</v>
      </c>
      <c r="J96" s="258">
        <v>3.3999999999999998E-3</v>
      </c>
      <c r="K96" s="258">
        <v>3.3999999999999998E-3</v>
      </c>
      <c r="L96" s="258">
        <v>3.3999999999999998E-3</v>
      </c>
      <c r="M96" s="258">
        <v>3.3999999999999998E-3</v>
      </c>
      <c r="N96" s="258">
        <v>3.3999999999999998E-3</v>
      </c>
      <c r="O96" s="258">
        <v>3.3999999999999998E-3</v>
      </c>
      <c r="P96" s="258">
        <v>3.3999999999999998E-3</v>
      </c>
      <c r="Q96" s="258">
        <v>3.3999999999999998E-3</v>
      </c>
      <c r="R96" s="258">
        <v>3.3999999999999998E-3</v>
      </c>
      <c r="S96" s="258">
        <v>3.3999999999999998E-3</v>
      </c>
      <c r="T96" s="258">
        <v>3.3999999999999998E-3</v>
      </c>
      <c r="U96" s="258">
        <v>3.3999999999999998E-3</v>
      </c>
      <c r="V96" s="258">
        <v>3.3999999999999998E-3</v>
      </c>
      <c r="W96" s="258">
        <v>3.3999999999999998E-3</v>
      </c>
      <c r="X96" s="258">
        <v>3.3999999999999998E-3</v>
      </c>
      <c r="Y96" s="258">
        <v>3.3999999999999998E-3</v>
      </c>
      <c r="Z96" s="258">
        <v>3.3999999999999998E-3</v>
      </c>
      <c r="AA96" s="258">
        <v>3.3999999999999998E-3</v>
      </c>
      <c r="AB96" s="258">
        <v>3.3999999999999998E-3</v>
      </c>
      <c r="AC96" s="258">
        <v>3.3999999999999998E-3</v>
      </c>
      <c r="AD96" s="258">
        <v>3.3999999999999998E-3</v>
      </c>
      <c r="AE96" s="258">
        <v>3.3999999999999998E-3</v>
      </c>
      <c r="AF96" s="258">
        <v>3.3999999999999998E-3</v>
      </c>
      <c r="AG96" s="258">
        <v>3.3999999999999998E-3</v>
      </c>
      <c r="AH96" s="258">
        <v>3.3999999999999998E-3</v>
      </c>
      <c r="AI96" s="258">
        <v>3.3999999999999998E-3</v>
      </c>
      <c r="AJ96" s="258">
        <v>3.3999999999999998E-3</v>
      </c>
      <c r="AK96" s="535">
        <v>3.3999999999999998E-3</v>
      </c>
      <c r="AL96" s="258">
        <v>3.3999999999999998E-3</v>
      </c>
    </row>
    <row r="99" spans="2:42">
      <c r="B99" s="244" t="s">
        <v>561</v>
      </c>
      <c r="C99" s="219" t="s">
        <v>610</v>
      </c>
      <c r="D99" s="219"/>
      <c r="E99" s="219"/>
      <c r="F99" s="219"/>
      <c r="G99" s="219"/>
      <c r="H99" s="219">
        <v>2025</v>
      </c>
      <c r="I99" s="219">
        <v>2026</v>
      </c>
      <c r="J99" s="219">
        <v>2027</v>
      </c>
      <c r="K99" s="219">
        <v>2028</v>
      </c>
      <c r="L99" s="219">
        <v>2029</v>
      </c>
      <c r="M99" s="219">
        <v>2030</v>
      </c>
      <c r="N99" s="219">
        <v>2031</v>
      </c>
      <c r="O99" s="219">
        <v>2032</v>
      </c>
      <c r="P99" s="219">
        <v>2033</v>
      </c>
      <c r="Q99" s="219">
        <v>2034</v>
      </c>
      <c r="R99" s="219">
        <v>2035</v>
      </c>
      <c r="S99" s="219">
        <v>2036</v>
      </c>
      <c r="T99" s="219">
        <v>2037</v>
      </c>
      <c r="U99" s="219">
        <v>2038</v>
      </c>
      <c r="V99" s="219">
        <v>2039</v>
      </c>
      <c r="W99" s="219">
        <v>2040</v>
      </c>
      <c r="X99" s="219">
        <v>2041</v>
      </c>
      <c r="Y99" s="219">
        <v>2042</v>
      </c>
      <c r="Z99" s="219">
        <v>2043</v>
      </c>
      <c r="AA99" s="219">
        <v>2044</v>
      </c>
      <c r="AB99" s="219">
        <v>2045</v>
      </c>
      <c r="AC99" s="219">
        <v>2046</v>
      </c>
      <c r="AD99" s="219">
        <v>2047</v>
      </c>
      <c r="AE99" s="219">
        <v>2048</v>
      </c>
      <c r="AF99" s="219">
        <v>2049</v>
      </c>
      <c r="AG99" s="219">
        <v>2050</v>
      </c>
      <c r="AH99" s="219">
        <v>2051</v>
      </c>
      <c r="AI99" s="219">
        <v>2052</v>
      </c>
      <c r="AJ99" s="219">
        <v>2053</v>
      </c>
      <c r="AK99" s="530">
        <v>2054</v>
      </c>
      <c r="AL99" s="219">
        <v>2055</v>
      </c>
    </row>
    <row r="100" spans="2:42" hidden="1">
      <c r="B100" s="219" t="s">
        <v>563</v>
      </c>
      <c r="C100" s="248">
        <v>0.3</v>
      </c>
      <c r="D100" s="219"/>
      <c r="E100" s="219"/>
      <c r="F100" s="219"/>
      <c r="G100" s="219"/>
      <c r="H100" s="243">
        <f>$C100*H$95</f>
        <v>262549.90119991661</v>
      </c>
      <c r="I100" s="243">
        <f t="shared" ref="I100:X102" si="30">$C100*I$95</f>
        <v>263442.57086399628</v>
      </c>
      <c r="J100" s="243">
        <f t="shared" si="30"/>
        <v>264338.27560493391</v>
      </c>
      <c r="K100" s="243">
        <f t="shared" si="30"/>
        <v>265237.02574199071</v>
      </c>
      <c r="L100" s="243">
        <f t="shared" si="30"/>
        <v>266138.83162951347</v>
      </c>
      <c r="M100" s="243">
        <f t="shared" si="30"/>
        <v>267043.70365705388</v>
      </c>
      <c r="N100" s="243">
        <f t="shared" si="30"/>
        <v>267951.65224948787</v>
      </c>
      <c r="O100" s="243">
        <f t="shared" si="30"/>
        <v>268862.68786713615</v>
      </c>
      <c r="P100" s="243">
        <f t="shared" si="30"/>
        <v>269776.82100588444</v>
      </c>
      <c r="Q100" s="243">
        <f t="shared" si="30"/>
        <v>270694.06219730445</v>
      </c>
      <c r="R100" s="243">
        <f t="shared" si="30"/>
        <v>271614.42200877529</v>
      </c>
      <c r="S100" s="243">
        <f t="shared" si="30"/>
        <v>272537.91104360519</v>
      </c>
      <c r="T100" s="243">
        <f t="shared" si="30"/>
        <v>273464.53994115343</v>
      </c>
      <c r="U100" s="243">
        <f t="shared" si="30"/>
        <v>274394.31937695335</v>
      </c>
      <c r="V100" s="243">
        <f t="shared" si="30"/>
        <v>275327.260062835</v>
      </c>
      <c r="W100" s="243">
        <f t="shared" si="30"/>
        <v>276263.37274704868</v>
      </c>
      <c r="X100" s="243">
        <f t="shared" si="30"/>
        <v>277202.66821438866</v>
      </c>
      <c r="Y100" s="243">
        <f t="shared" ref="Y100:AL102" si="31">$C100*Y$95</f>
        <v>278145.15728631761</v>
      </c>
      <c r="Z100" s="243">
        <f t="shared" si="31"/>
        <v>279090.85082109115</v>
      </c>
      <c r="AA100" s="243">
        <f t="shared" si="31"/>
        <v>280039.75971388287</v>
      </c>
      <c r="AB100" s="243">
        <f t="shared" si="31"/>
        <v>280991.89489691012</v>
      </c>
      <c r="AC100" s="243">
        <f t="shared" si="31"/>
        <v>281947.26733955962</v>
      </c>
      <c r="AD100" s="243">
        <f t="shared" si="31"/>
        <v>282905.88804851408</v>
      </c>
      <c r="AE100" s="243">
        <f t="shared" si="31"/>
        <v>283867.76806787908</v>
      </c>
      <c r="AF100" s="243">
        <f t="shared" si="31"/>
        <v>284832.91847930988</v>
      </c>
      <c r="AG100" s="243">
        <f t="shared" si="31"/>
        <v>285801.35040213953</v>
      </c>
      <c r="AH100" s="243">
        <f t="shared" si="31"/>
        <v>286773.07499350683</v>
      </c>
      <c r="AI100" s="243">
        <f t="shared" si="31"/>
        <v>287748.10344848479</v>
      </c>
      <c r="AJ100" s="243">
        <f t="shared" si="31"/>
        <v>288726.44700020965</v>
      </c>
      <c r="AK100" s="531">
        <f t="shared" si="31"/>
        <v>289708.11692001036</v>
      </c>
      <c r="AL100" s="243">
        <f t="shared" si="31"/>
        <v>290693.12451753847</v>
      </c>
    </row>
    <row r="101" spans="2:42">
      <c r="B101" s="219" t="s">
        <v>564</v>
      </c>
      <c r="C101" s="595">
        <v>0.2</v>
      </c>
      <c r="D101" s="219"/>
      <c r="E101" s="219"/>
      <c r="F101" s="219"/>
      <c r="G101" s="219"/>
      <c r="H101" s="243">
        <f>$C101*H$95</f>
        <v>175033.26746661108</v>
      </c>
      <c r="I101" s="243">
        <f t="shared" si="30"/>
        <v>175628.38057599755</v>
      </c>
      <c r="J101" s="243">
        <f t="shared" si="30"/>
        <v>176225.51706995594</v>
      </c>
      <c r="K101" s="243">
        <f t="shared" si="30"/>
        <v>176824.68382799381</v>
      </c>
      <c r="L101" s="243">
        <f t="shared" si="30"/>
        <v>177425.88775300901</v>
      </c>
      <c r="M101" s="243">
        <f t="shared" si="30"/>
        <v>178029.13577136927</v>
      </c>
      <c r="N101" s="243">
        <f t="shared" si="30"/>
        <v>178634.43483299192</v>
      </c>
      <c r="O101" s="243">
        <f t="shared" si="30"/>
        <v>179241.79191142411</v>
      </c>
      <c r="P101" s="243">
        <f t="shared" si="30"/>
        <v>179851.21400392297</v>
      </c>
      <c r="Q101" s="243">
        <f t="shared" si="30"/>
        <v>180462.70813153632</v>
      </c>
      <c r="R101" s="243">
        <f t="shared" si="30"/>
        <v>181076.28133918357</v>
      </c>
      <c r="S101" s="243">
        <f t="shared" si="30"/>
        <v>181691.94069573679</v>
      </c>
      <c r="T101" s="243">
        <f t="shared" si="30"/>
        <v>182309.69329410233</v>
      </c>
      <c r="U101" s="243">
        <f t="shared" si="30"/>
        <v>182929.54625130226</v>
      </c>
      <c r="V101" s="243">
        <f t="shared" si="30"/>
        <v>183551.5067085567</v>
      </c>
      <c r="W101" s="243">
        <f t="shared" si="30"/>
        <v>184175.58183136582</v>
      </c>
      <c r="X101" s="243">
        <f t="shared" si="30"/>
        <v>184801.77880959248</v>
      </c>
      <c r="Y101" s="243">
        <f t="shared" si="31"/>
        <v>185430.10485754511</v>
      </c>
      <c r="Z101" s="243">
        <f t="shared" si="31"/>
        <v>186060.56721406078</v>
      </c>
      <c r="AA101" s="243">
        <f t="shared" si="31"/>
        <v>186693.17314258858</v>
      </c>
      <c r="AB101" s="243">
        <f t="shared" si="31"/>
        <v>187327.92993127342</v>
      </c>
      <c r="AC101" s="243">
        <f t="shared" si="31"/>
        <v>187964.84489303976</v>
      </c>
      <c r="AD101" s="243">
        <f t="shared" si="31"/>
        <v>188603.92536567608</v>
      </c>
      <c r="AE101" s="243">
        <f t="shared" si="31"/>
        <v>189245.17871191941</v>
      </c>
      <c r="AF101" s="243">
        <f t="shared" si="31"/>
        <v>189888.61231953994</v>
      </c>
      <c r="AG101" s="243">
        <f t="shared" si="31"/>
        <v>190534.23360142639</v>
      </c>
      <c r="AH101" s="243">
        <f t="shared" si="31"/>
        <v>191182.04999567126</v>
      </c>
      <c r="AI101" s="243">
        <f t="shared" si="31"/>
        <v>191832.06896565654</v>
      </c>
      <c r="AJ101" s="243">
        <f t="shared" si="31"/>
        <v>192484.29800013977</v>
      </c>
      <c r="AK101" s="531">
        <f t="shared" si="31"/>
        <v>193138.74461334027</v>
      </c>
      <c r="AL101" s="243">
        <f t="shared" si="31"/>
        <v>193795.41634502565</v>
      </c>
    </row>
    <row r="102" spans="2:42" hidden="1">
      <c r="B102" s="219" t="s">
        <v>565</v>
      </c>
      <c r="C102" s="248">
        <v>0.1</v>
      </c>
      <c r="D102" s="219"/>
      <c r="E102" s="219"/>
      <c r="F102" s="219"/>
      <c r="G102" s="219"/>
      <c r="H102" s="243">
        <f>$C102*H$95</f>
        <v>87516.633733305542</v>
      </c>
      <c r="I102" s="243">
        <f t="shared" si="30"/>
        <v>87814.190287998776</v>
      </c>
      <c r="J102" s="243">
        <f t="shared" si="30"/>
        <v>88112.758534977969</v>
      </c>
      <c r="K102" s="243">
        <f t="shared" si="30"/>
        <v>88412.341913996905</v>
      </c>
      <c r="L102" s="243">
        <f t="shared" si="30"/>
        <v>88712.943876504505</v>
      </c>
      <c r="M102" s="243">
        <f t="shared" si="30"/>
        <v>89014.567885684635</v>
      </c>
      <c r="N102" s="243">
        <f t="shared" si="30"/>
        <v>89317.217416495958</v>
      </c>
      <c r="O102" s="243">
        <f t="shared" si="30"/>
        <v>89620.895955712054</v>
      </c>
      <c r="P102" s="243">
        <f t="shared" si="30"/>
        <v>89925.607001961485</v>
      </c>
      <c r="Q102" s="243">
        <f t="shared" si="30"/>
        <v>90231.354065768159</v>
      </c>
      <c r="R102" s="243">
        <f t="shared" si="30"/>
        <v>90538.140669591783</v>
      </c>
      <c r="S102" s="243">
        <f t="shared" si="30"/>
        <v>90845.970347868395</v>
      </c>
      <c r="T102" s="243">
        <f t="shared" si="30"/>
        <v>91154.846647051163</v>
      </c>
      <c r="U102" s="243">
        <f t="shared" si="30"/>
        <v>91464.773125651132</v>
      </c>
      <c r="V102" s="243">
        <f t="shared" si="30"/>
        <v>91775.753354278349</v>
      </c>
      <c r="W102" s="243">
        <f t="shared" si="30"/>
        <v>92087.790915682912</v>
      </c>
      <c r="X102" s="243">
        <f t="shared" si="30"/>
        <v>92400.889404796239</v>
      </c>
      <c r="Y102" s="243">
        <f t="shared" si="31"/>
        <v>92715.052428772557</v>
      </c>
      <c r="Z102" s="243">
        <f t="shared" si="31"/>
        <v>93030.283607030389</v>
      </c>
      <c r="AA102" s="243">
        <f t="shared" si="31"/>
        <v>93346.58657129429</v>
      </c>
      <c r="AB102" s="243">
        <f t="shared" si="31"/>
        <v>93663.964965636711</v>
      </c>
      <c r="AC102" s="243">
        <f t="shared" si="31"/>
        <v>93982.422446519879</v>
      </c>
      <c r="AD102" s="243">
        <f t="shared" si="31"/>
        <v>94301.962682838042</v>
      </c>
      <c r="AE102" s="243">
        <f t="shared" si="31"/>
        <v>94622.589355959703</v>
      </c>
      <c r="AF102" s="243">
        <f t="shared" si="31"/>
        <v>94944.306159769971</v>
      </c>
      <c r="AG102" s="243">
        <f t="shared" si="31"/>
        <v>95267.116800713193</v>
      </c>
      <c r="AH102" s="243">
        <f t="shared" si="31"/>
        <v>95591.02499783563</v>
      </c>
      <c r="AI102" s="243">
        <f t="shared" si="31"/>
        <v>95916.034482828269</v>
      </c>
      <c r="AJ102" s="243">
        <f t="shared" si="31"/>
        <v>96242.149000069883</v>
      </c>
      <c r="AK102" s="531">
        <f t="shared" si="31"/>
        <v>96569.372306670135</v>
      </c>
      <c r="AL102" s="243">
        <f t="shared" si="31"/>
        <v>96897.708172512823</v>
      </c>
    </row>
    <row r="103" spans="2:42">
      <c r="B103" s="219"/>
      <c r="C103" s="219"/>
      <c r="D103" s="219"/>
      <c r="E103" s="219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535"/>
      <c r="AL103" s="258"/>
    </row>
    <row r="104" spans="2:42">
      <c r="B104" s="219"/>
      <c r="C104" s="219"/>
      <c r="D104" s="219"/>
      <c r="E104" s="219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535"/>
      <c r="AL104" s="258"/>
    </row>
    <row r="105" spans="2:42">
      <c r="B105" s="219"/>
      <c r="C105" s="219"/>
      <c r="D105" s="219"/>
      <c r="E105" s="219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535"/>
      <c r="AL105" s="258"/>
    </row>
    <row r="106" spans="2:42">
      <c r="B106" s="219"/>
      <c r="C106" s="219"/>
      <c r="D106" s="219"/>
      <c r="E106" s="219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535"/>
      <c r="AL106" s="258"/>
    </row>
    <row r="107" spans="2:42" s="587" customFormat="1">
      <c r="B107" s="585" t="s">
        <v>611</v>
      </c>
      <c r="C107" s="585"/>
      <c r="D107" s="585"/>
      <c r="E107" s="585"/>
      <c r="F107" s="585"/>
      <c r="G107" s="585"/>
      <c r="H107" s="585"/>
      <c r="I107" s="585"/>
      <c r="J107" s="585"/>
      <c r="K107" s="585"/>
      <c r="L107" s="585"/>
      <c r="M107" s="585"/>
      <c r="N107" s="585"/>
      <c r="O107" s="585"/>
      <c r="P107" s="585"/>
      <c r="Q107" s="585"/>
      <c r="R107" s="585"/>
      <c r="S107" s="585"/>
      <c r="T107" s="585"/>
      <c r="U107" s="585"/>
      <c r="V107" s="585"/>
      <c r="W107" s="585"/>
      <c r="X107" s="585"/>
      <c r="Y107" s="585"/>
      <c r="Z107" s="585"/>
      <c r="AA107" s="585"/>
      <c r="AB107" s="585"/>
      <c r="AC107" s="585"/>
      <c r="AD107" s="585"/>
      <c r="AE107" s="585"/>
      <c r="AF107" s="585"/>
      <c r="AG107" s="585"/>
      <c r="AH107" s="585"/>
      <c r="AI107" s="585"/>
      <c r="AJ107" s="585"/>
      <c r="AK107" s="586"/>
      <c r="AL107" s="585"/>
      <c r="AM107" s="585"/>
      <c r="AN107" s="585"/>
      <c r="AO107" s="585"/>
      <c r="AP107" s="585"/>
    </row>
    <row r="108" spans="2:42">
      <c r="B108" s="219"/>
      <c r="C108" s="219"/>
      <c r="D108" s="219"/>
      <c r="E108" s="219"/>
      <c r="F108" s="258"/>
      <c r="G108" s="258"/>
      <c r="H108" s="258"/>
      <c r="I108" s="258"/>
      <c r="J108" s="258"/>
      <c r="K108" s="258"/>
      <c r="L108" s="258"/>
      <c r="M108" s="258"/>
      <c r="N108" s="258"/>
      <c r="O108" s="258"/>
      <c r="P108" s="258"/>
      <c r="Q108" s="258"/>
      <c r="R108" s="258"/>
      <c r="S108" s="258"/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535"/>
      <c r="AL108" s="258"/>
    </row>
    <row r="109" spans="2:42"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530"/>
      <c r="AL109" s="219"/>
    </row>
    <row r="110" spans="2:42">
      <c r="B110" s="219" t="s">
        <v>612</v>
      </c>
      <c r="C110" s="262">
        <v>3.08</v>
      </c>
      <c r="D110" s="219" t="s">
        <v>613</v>
      </c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530"/>
      <c r="AL110" s="219"/>
    </row>
    <row r="111" spans="2:42">
      <c r="B111" s="219"/>
      <c r="C111" s="259"/>
      <c r="D111" s="219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530"/>
      <c r="AL111" s="219"/>
    </row>
    <row r="112" spans="2:42">
      <c r="B112" s="219"/>
      <c r="C112" s="263" t="s">
        <v>614</v>
      </c>
      <c r="D112" s="263" t="s">
        <v>615</v>
      </c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530"/>
      <c r="AL112" s="219"/>
    </row>
    <row r="113" spans="2:38">
      <c r="B113" s="223" t="s">
        <v>316</v>
      </c>
      <c r="C113" s="264">
        <f>SUM(C114:C121)</f>
        <v>3214</v>
      </c>
      <c r="D113" s="264">
        <f>SUM(D114:D121)</f>
        <v>9899.1200000000008</v>
      </c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19"/>
      <c r="AJ113" s="219"/>
      <c r="AK113" s="530"/>
      <c r="AL113" s="219"/>
    </row>
    <row r="114" spans="2:38">
      <c r="B114" s="219" t="s">
        <v>616</v>
      </c>
      <c r="C114" s="246">
        <v>1028</v>
      </c>
      <c r="D114" s="246">
        <f>C114*$C$110</f>
        <v>3166.2400000000002</v>
      </c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19"/>
      <c r="AJ114" s="219"/>
      <c r="AK114" s="530"/>
      <c r="AL114" s="219"/>
    </row>
    <row r="115" spans="2:38">
      <c r="B115" s="219" t="s">
        <v>617</v>
      </c>
      <c r="C115" s="246">
        <v>1028</v>
      </c>
      <c r="D115" s="246">
        <f t="shared" ref="D115:D120" si="32">C115*$C$110</f>
        <v>3166.2400000000002</v>
      </c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19"/>
      <c r="AJ115" s="219"/>
      <c r="AK115" s="530"/>
      <c r="AL115" s="219"/>
    </row>
    <row r="116" spans="2:38">
      <c r="B116" s="219" t="s">
        <v>618</v>
      </c>
      <c r="C116" s="246">
        <v>400</v>
      </c>
      <c r="D116" s="246">
        <f t="shared" si="32"/>
        <v>1232</v>
      </c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530"/>
      <c r="AL116" s="219"/>
    </row>
    <row r="117" spans="2:38">
      <c r="B117" s="219" t="s">
        <v>619</v>
      </c>
      <c r="C117" s="246">
        <v>486</v>
      </c>
      <c r="D117" s="246">
        <f t="shared" si="32"/>
        <v>1496.88</v>
      </c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19"/>
      <c r="AJ117" s="219"/>
      <c r="AK117" s="530"/>
      <c r="AL117" s="219"/>
    </row>
    <row r="118" spans="2:38">
      <c r="B118" s="219" t="s">
        <v>620</v>
      </c>
      <c r="C118" s="219">
        <v>26</v>
      </c>
      <c r="D118" s="219">
        <f t="shared" si="32"/>
        <v>80.08</v>
      </c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19"/>
      <c r="AJ118" s="219"/>
      <c r="AK118" s="530"/>
      <c r="AL118" s="219"/>
    </row>
    <row r="119" spans="2:38">
      <c r="B119" s="219" t="s">
        <v>621</v>
      </c>
      <c r="C119" s="219">
        <v>66</v>
      </c>
      <c r="D119" s="219">
        <f t="shared" si="32"/>
        <v>203.28</v>
      </c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19"/>
      <c r="AJ119" s="219"/>
      <c r="AK119" s="530"/>
      <c r="AL119" s="219"/>
    </row>
    <row r="120" spans="2:38">
      <c r="B120" s="219" t="s">
        <v>622</v>
      </c>
      <c r="C120" s="219">
        <v>180</v>
      </c>
      <c r="D120" s="219">
        <f t="shared" si="32"/>
        <v>554.4</v>
      </c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19"/>
      <c r="AJ120" s="219"/>
      <c r="AK120" s="530"/>
      <c r="AL120" s="219"/>
    </row>
    <row r="121" spans="2:38">
      <c r="B121" s="219"/>
      <c r="C121" s="219"/>
      <c r="D121" s="219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530"/>
      <c r="AL121" s="219"/>
    </row>
    <row r="122" spans="2:38"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530"/>
      <c r="AL122" s="219"/>
    </row>
    <row r="123" spans="2:38">
      <c r="B123" s="592" t="s">
        <v>561</v>
      </c>
      <c r="C123" s="591" t="s">
        <v>623</v>
      </c>
      <c r="D123" s="591" t="s">
        <v>624</v>
      </c>
      <c r="E123" s="219"/>
      <c r="F123" s="219"/>
      <c r="G123" s="219"/>
      <c r="H123" s="219">
        <v>2025</v>
      </c>
      <c r="I123" s="219">
        <v>2026</v>
      </c>
      <c r="J123" s="219">
        <v>2027</v>
      </c>
      <c r="K123" s="219">
        <v>2028</v>
      </c>
      <c r="L123" s="219">
        <v>2029</v>
      </c>
      <c r="M123" s="219">
        <v>2030</v>
      </c>
      <c r="N123" s="219">
        <v>2031</v>
      </c>
      <c r="O123" s="219">
        <v>2032</v>
      </c>
      <c r="P123" s="219">
        <v>2033</v>
      </c>
      <c r="Q123" s="219">
        <v>2034</v>
      </c>
      <c r="R123" s="219">
        <v>2035</v>
      </c>
      <c r="S123" s="219">
        <v>2036</v>
      </c>
      <c r="T123" s="219">
        <v>2037</v>
      </c>
      <c r="U123" s="219">
        <v>2038</v>
      </c>
      <c r="V123" s="219">
        <v>2039</v>
      </c>
      <c r="W123" s="219">
        <v>2040</v>
      </c>
      <c r="X123" s="219">
        <v>2041</v>
      </c>
      <c r="Y123" s="219">
        <v>2042</v>
      </c>
      <c r="Z123" s="219">
        <v>2043</v>
      </c>
      <c r="AA123" s="219">
        <v>2044</v>
      </c>
      <c r="AB123" s="219">
        <v>2045</v>
      </c>
      <c r="AC123" s="219">
        <v>2046</v>
      </c>
      <c r="AD123" s="219">
        <v>2047</v>
      </c>
      <c r="AE123" s="219">
        <v>2048</v>
      </c>
      <c r="AF123" s="219">
        <v>2049</v>
      </c>
      <c r="AG123" s="219">
        <v>2050</v>
      </c>
      <c r="AH123" s="219">
        <v>2051</v>
      </c>
      <c r="AI123" s="219">
        <v>2052</v>
      </c>
      <c r="AJ123" s="219">
        <v>2053</v>
      </c>
      <c r="AK123" s="530">
        <v>2054</v>
      </c>
      <c r="AL123" s="219">
        <v>2055</v>
      </c>
    </row>
    <row r="124" spans="2:38" hidden="1">
      <c r="B124" s="219" t="s">
        <v>563</v>
      </c>
      <c r="C124" s="248">
        <v>0.5</v>
      </c>
      <c r="D124" s="239">
        <v>12</v>
      </c>
      <c r="E124" s="219"/>
      <c r="F124" s="219"/>
      <c r="G124" s="219"/>
      <c r="H124" s="243">
        <f>$C124*$D$113*$D124</f>
        <v>59394.720000000001</v>
      </c>
      <c r="I124" s="243">
        <f t="shared" ref="I124:X126" si="33">$C124*$D$113*$D124</f>
        <v>59394.720000000001</v>
      </c>
      <c r="J124" s="243">
        <f t="shared" si="33"/>
        <v>59394.720000000001</v>
      </c>
      <c r="K124" s="243">
        <f t="shared" si="33"/>
        <v>59394.720000000001</v>
      </c>
      <c r="L124" s="243">
        <f t="shared" si="33"/>
        <v>59394.720000000001</v>
      </c>
      <c r="M124" s="243">
        <f t="shared" si="33"/>
        <v>59394.720000000001</v>
      </c>
      <c r="N124" s="243">
        <f t="shared" si="33"/>
        <v>59394.720000000001</v>
      </c>
      <c r="O124" s="243">
        <f t="shared" si="33"/>
        <v>59394.720000000001</v>
      </c>
      <c r="P124" s="243">
        <f t="shared" si="33"/>
        <v>59394.720000000001</v>
      </c>
      <c r="Q124" s="243">
        <f t="shared" si="33"/>
        <v>59394.720000000001</v>
      </c>
      <c r="R124" s="243">
        <f t="shared" si="33"/>
        <v>59394.720000000001</v>
      </c>
      <c r="S124" s="243">
        <f t="shared" si="33"/>
        <v>59394.720000000001</v>
      </c>
      <c r="T124" s="243">
        <f t="shared" si="33"/>
        <v>59394.720000000001</v>
      </c>
      <c r="U124" s="243">
        <f t="shared" si="33"/>
        <v>59394.720000000001</v>
      </c>
      <c r="V124" s="243">
        <f t="shared" si="33"/>
        <v>59394.720000000001</v>
      </c>
      <c r="W124" s="243">
        <f t="shared" si="33"/>
        <v>59394.720000000001</v>
      </c>
      <c r="X124" s="243">
        <f t="shared" si="33"/>
        <v>59394.720000000001</v>
      </c>
      <c r="Y124" s="243">
        <f t="shared" ref="Y124:AL126" si="34">$C124*$D$113*$D124</f>
        <v>59394.720000000001</v>
      </c>
      <c r="Z124" s="243">
        <f t="shared" si="34"/>
        <v>59394.720000000001</v>
      </c>
      <c r="AA124" s="243">
        <f t="shared" si="34"/>
        <v>59394.720000000001</v>
      </c>
      <c r="AB124" s="243">
        <f t="shared" si="34"/>
        <v>59394.720000000001</v>
      </c>
      <c r="AC124" s="243">
        <f t="shared" si="34"/>
        <v>59394.720000000001</v>
      </c>
      <c r="AD124" s="243">
        <f t="shared" si="34"/>
        <v>59394.720000000001</v>
      </c>
      <c r="AE124" s="243">
        <f t="shared" si="34"/>
        <v>59394.720000000001</v>
      </c>
      <c r="AF124" s="243">
        <f t="shared" si="34"/>
        <v>59394.720000000001</v>
      </c>
      <c r="AG124" s="243">
        <f t="shared" si="34"/>
        <v>59394.720000000001</v>
      </c>
      <c r="AH124" s="243">
        <f t="shared" si="34"/>
        <v>59394.720000000001</v>
      </c>
      <c r="AI124" s="243">
        <f t="shared" si="34"/>
        <v>59394.720000000001</v>
      </c>
      <c r="AJ124" s="243">
        <f t="shared" si="34"/>
        <v>59394.720000000001</v>
      </c>
      <c r="AK124" s="531">
        <f t="shared" si="34"/>
        <v>59394.720000000001</v>
      </c>
      <c r="AL124" s="243">
        <f t="shared" si="34"/>
        <v>59394.720000000001</v>
      </c>
    </row>
    <row r="125" spans="2:38">
      <c r="B125" s="219" t="s">
        <v>564</v>
      </c>
      <c r="C125" s="595">
        <v>0.5</v>
      </c>
      <c r="D125" s="593">
        <v>5</v>
      </c>
      <c r="E125" s="219"/>
      <c r="F125" s="219"/>
      <c r="G125" s="219"/>
      <c r="H125" s="243">
        <f>$C125*$D$113*$D125</f>
        <v>24747.800000000003</v>
      </c>
      <c r="I125" s="243">
        <f t="shared" si="33"/>
        <v>24747.800000000003</v>
      </c>
      <c r="J125" s="243">
        <f t="shared" si="33"/>
        <v>24747.800000000003</v>
      </c>
      <c r="K125" s="243">
        <f t="shared" si="33"/>
        <v>24747.800000000003</v>
      </c>
      <c r="L125" s="243">
        <f t="shared" si="33"/>
        <v>24747.800000000003</v>
      </c>
      <c r="M125" s="243">
        <f t="shared" si="33"/>
        <v>24747.800000000003</v>
      </c>
      <c r="N125" s="243">
        <f t="shared" si="33"/>
        <v>24747.800000000003</v>
      </c>
      <c r="O125" s="243">
        <f t="shared" si="33"/>
        <v>24747.800000000003</v>
      </c>
      <c r="P125" s="243">
        <f t="shared" si="33"/>
        <v>24747.800000000003</v>
      </c>
      <c r="Q125" s="243">
        <f t="shared" si="33"/>
        <v>24747.800000000003</v>
      </c>
      <c r="R125" s="243">
        <f t="shared" si="33"/>
        <v>24747.800000000003</v>
      </c>
      <c r="S125" s="243">
        <f t="shared" si="33"/>
        <v>24747.800000000003</v>
      </c>
      <c r="T125" s="243">
        <f t="shared" si="33"/>
        <v>24747.800000000003</v>
      </c>
      <c r="U125" s="243">
        <f t="shared" si="33"/>
        <v>24747.800000000003</v>
      </c>
      <c r="V125" s="243">
        <f t="shared" si="33"/>
        <v>24747.800000000003</v>
      </c>
      <c r="W125" s="243">
        <f t="shared" si="33"/>
        <v>24747.800000000003</v>
      </c>
      <c r="X125" s="243">
        <f t="shared" si="33"/>
        <v>24747.800000000003</v>
      </c>
      <c r="Y125" s="243">
        <f t="shared" si="34"/>
        <v>24747.800000000003</v>
      </c>
      <c r="Z125" s="243">
        <f t="shared" si="34"/>
        <v>24747.800000000003</v>
      </c>
      <c r="AA125" s="243">
        <f t="shared" si="34"/>
        <v>24747.800000000003</v>
      </c>
      <c r="AB125" s="243">
        <f t="shared" si="34"/>
        <v>24747.800000000003</v>
      </c>
      <c r="AC125" s="243">
        <f t="shared" si="34"/>
        <v>24747.800000000003</v>
      </c>
      <c r="AD125" s="243">
        <f t="shared" si="34"/>
        <v>24747.800000000003</v>
      </c>
      <c r="AE125" s="243">
        <f t="shared" si="34"/>
        <v>24747.800000000003</v>
      </c>
      <c r="AF125" s="243">
        <f t="shared" si="34"/>
        <v>24747.800000000003</v>
      </c>
      <c r="AG125" s="243">
        <f t="shared" si="34"/>
        <v>24747.800000000003</v>
      </c>
      <c r="AH125" s="243">
        <f t="shared" si="34"/>
        <v>24747.800000000003</v>
      </c>
      <c r="AI125" s="243">
        <f t="shared" si="34"/>
        <v>24747.800000000003</v>
      </c>
      <c r="AJ125" s="243">
        <f t="shared" si="34"/>
        <v>24747.800000000003</v>
      </c>
      <c r="AK125" s="531">
        <f t="shared" si="34"/>
        <v>24747.800000000003</v>
      </c>
      <c r="AL125" s="243">
        <f t="shared" si="34"/>
        <v>24747.800000000003</v>
      </c>
    </row>
    <row r="126" spans="2:38" hidden="1">
      <c r="B126" s="219" t="s">
        <v>565</v>
      </c>
      <c r="C126" s="248">
        <v>0.3</v>
      </c>
      <c r="D126" s="239">
        <v>2</v>
      </c>
      <c r="E126" s="219"/>
      <c r="F126" s="219"/>
      <c r="G126" s="219"/>
      <c r="H126" s="243">
        <f>$C126*$D$113*$D126</f>
        <v>5939.4720000000007</v>
      </c>
      <c r="I126" s="243">
        <f t="shared" si="33"/>
        <v>5939.4720000000007</v>
      </c>
      <c r="J126" s="243">
        <f t="shared" si="33"/>
        <v>5939.4720000000007</v>
      </c>
      <c r="K126" s="243">
        <f t="shared" si="33"/>
        <v>5939.4720000000007</v>
      </c>
      <c r="L126" s="243">
        <f t="shared" si="33"/>
        <v>5939.4720000000007</v>
      </c>
      <c r="M126" s="243">
        <f t="shared" si="33"/>
        <v>5939.4720000000007</v>
      </c>
      <c r="N126" s="243">
        <f t="shared" si="33"/>
        <v>5939.4720000000007</v>
      </c>
      <c r="O126" s="243">
        <f t="shared" si="33"/>
        <v>5939.4720000000007</v>
      </c>
      <c r="P126" s="243">
        <f t="shared" si="33"/>
        <v>5939.4720000000007</v>
      </c>
      <c r="Q126" s="243">
        <f t="shared" si="33"/>
        <v>5939.4720000000007</v>
      </c>
      <c r="R126" s="243">
        <f t="shared" si="33"/>
        <v>5939.4720000000007</v>
      </c>
      <c r="S126" s="243">
        <f t="shared" si="33"/>
        <v>5939.4720000000007</v>
      </c>
      <c r="T126" s="243">
        <f t="shared" si="33"/>
        <v>5939.4720000000007</v>
      </c>
      <c r="U126" s="243">
        <f t="shared" si="33"/>
        <v>5939.4720000000007</v>
      </c>
      <c r="V126" s="243">
        <f t="shared" si="33"/>
        <v>5939.4720000000007</v>
      </c>
      <c r="W126" s="243">
        <f t="shared" si="33"/>
        <v>5939.4720000000007</v>
      </c>
      <c r="X126" s="243">
        <f t="shared" si="33"/>
        <v>5939.4720000000007</v>
      </c>
      <c r="Y126" s="243">
        <f t="shared" si="34"/>
        <v>5939.4720000000007</v>
      </c>
      <c r="Z126" s="243">
        <f t="shared" si="34"/>
        <v>5939.4720000000007</v>
      </c>
      <c r="AA126" s="243">
        <f t="shared" si="34"/>
        <v>5939.4720000000007</v>
      </c>
      <c r="AB126" s="243">
        <f t="shared" si="34"/>
        <v>5939.4720000000007</v>
      </c>
      <c r="AC126" s="243">
        <f t="shared" si="34"/>
        <v>5939.4720000000007</v>
      </c>
      <c r="AD126" s="243">
        <f t="shared" si="34"/>
        <v>5939.4720000000007</v>
      </c>
      <c r="AE126" s="243">
        <f t="shared" si="34"/>
        <v>5939.4720000000007</v>
      </c>
      <c r="AF126" s="243">
        <f t="shared" si="34"/>
        <v>5939.4720000000007</v>
      </c>
      <c r="AG126" s="243">
        <f t="shared" si="34"/>
        <v>5939.4720000000007</v>
      </c>
      <c r="AH126" s="243">
        <f t="shared" si="34"/>
        <v>5939.4720000000007</v>
      </c>
      <c r="AI126" s="243">
        <f t="shared" si="34"/>
        <v>5939.4720000000007</v>
      </c>
      <c r="AJ126" s="243">
        <f t="shared" si="34"/>
        <v>5939.4720000000007</v>
      </c>
      <c r="AK126" s="531">
        <f t="shared" si="34"/>
        <v>5939.4720000000007</v>
      </c>
      <c r="AL126" s="243">
        <f t="shared" si="34"/>
        <v>5939.4720000000007</v>
      </c>
    </row>
  </sheetData>
  <sheetProtection password="C643" sheet="1" objects="1" scenarios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B1:Q115"/>
  <sheetViews>
    <sheetView showGridLines="0" topLeftCell="A109" zoomScale="90" zoomScaleNormal="90" workbookViewId="0">
      <selection activeCell="G68" sqref="G68"/>
    </sheetView>
  </sheetViews>
  <sheetFormatPr defaultColWidth="9.140625" defaultRowHeight="12.75" outlineLevelCol="1"/>
  <cols>
    <col min="1" max="1" width="3.7109375" style="219" bestFit="1" customWidth="1"/>
    <col min="2" max="2" width="25.7109375" style="219" customWidth="1"/>
    <col min="3" max="3" width="24" style="219" customWidth="1"/>
    <col min="4" max="4" width="32" style="219" customWidth="1"/>
    <col min="5" max="5" width="14.28515625" style="348" customWidth="1"/>
    <col min="6" max="6" width="10.28515625" style="219" customWidth="1"/>
    <col min="7" max="7" width="26.28515625" style="219" customWidth="1"/>
    <col min="8" max="8" width="13.42578125" style="219" customWidth="1"/>
    <col min="9" max="9" width="12.28515625" style="219" customWidth="1"/>
    <col min="10" max="10" width="6.5703125" style="219" customWidth="1"/>
    <col min="11" max="11" width="13.28515625" style="219" customWidth="1"/>
    <col min="12" max="12" width="13.7109375" style="219" customWidth="1"/>
    <col min="13" max="13" width="10" style="219" customWidth="1" outlineLevel="1"/>
    <col min="14" max="14" width="14.7109375" style="219" customWidth="1" outlineLevel="1"/>
    <col min="15" max="17" width="15.7109375" style="219" customWidth="1" outlineLevel="1"/>
    <col min="18" max="47" width="15.7109375" style="219" customWidth="1"/>
    <col min="48" max="16384" width="9.140625" style="219"/>
  </cols>
  <sheetData>
    <row r="1" spans="2:6" s="336" customFormat="1" ht="15">
      <c r="B1" s="334" t="s">
        <v>625</v>
      </c>
      <c r="C1" s="334"/>
      <c r="D1" s="334"/>
      <c r="E1" s="335"/>
      <c r="F1" s="334"/>
    </row>
    <row r="2" spans="2:6" s="337" customFormat="1" ht="12">
      <c r="E2" s="338"/>
    </row>
    <row r="3" spans="2:6" s="337" customFormat="1" ht="15">
      <c r="B3" s="339" t="s">
        <v>626</v>
      </c>
      <c r="C3" s="339" t="s">
        <v>627</v>
      </c>
      <c r="D3" s="339" t="s">
        <v>628</v>
      </c>
      <c r="E3" s="340">
        <v>88</v>
      </c>
      <c r="F3" s="341" t="s">
        <v>629</v>
      </c>
    </row>
    <row r="4" spans="2:6" s="337" customFormat="1" ht="15">
      <c r="B4" s="339" t="s">
        <v>626</v>
      </c>
      <c r="C4" s="339" t="s">
        <v>630</v>
      </c>
      <c r="D4" s="339" t="s">
        <v>631</v>
      </c>
      <c r="E4" s="340">
        <v>45</v>
      </c>
      <c r="F4" s="341" t="s">
        <v>632</v>
      </c>
    </row>
    <row r="5" spans="2:6" s="337" customFormat="1" ht="15">
      <c r="B5" s="339" t="s">
        <v>626</v>
      </c>
      <c r="C5" s="339" t="s">
        <v>633</v>
      </c>
      <c r="D5" s="339" t="s">
        <v>634</v>
      </c>
      <c r="E5" s="340">
        <v>50</v>
      </c>
      <c r="F5" s="341" t="s">
        <v>635</v>
      </c>
    </row>
    <row r="6" spans="2:6" s="337" customFormat="1" ht="12">
      <c r="B6" s="342" t="s">
        <v>636</v>
      </c>
      <c r="C6" s="342" t="s">
        <v>597</v>
      </c>
      <c r="D6" s="343"/>
      <c r="E6" s="344">
        <v>40</v>
      </c>
    </row>
    <row r="7" spans="2:6" s="337" customFormat="1" ht="12">
      <c r="E7" s="338"/>
    </row>
    <row r="8" spans="2:6" s="337" customFormat="1" ht="12">
      <c r="E8" s="338"/>
    </row>
    <row r="9" spans="2:6" s="337" customFormat="1" ht="12">
      <c r="B9" s="339"/>
      <c r="C9" s="339" t="s">
        <v>637</v>
      </c>
      <c r="D9" s="339"/>
      <c r="E9" s="340">
        <v>50</v>
      </c>
    </row>
    <row r="10" spans="2:6" s="337" customFormat="1" ht="12">
      <c r="B10" s="339"/>
      <c r="C10" s="339" t="s">
        <v>638</v>
      </c>
      <c r="D10" s="339"/>
      <c r="E10" s="340">
        <v>25</v>
      </c>
    </row>
    <row r="11" spans="2:6" s="337" customFormat="1" ht="12">
      <c r="B11" s="339"/>
      <c r="C11" s="339" t="s">
        <v>639</v>
      </c>
      <c r="D11" s="339"/>
      <c r="E11" s="340">
        <v>25</v>
      </c>
    </row>
    <row r="12" spans="2:6" s="337" customFormat="1" ht="12">
      <c r="B12" s="342" t="s">
        <v>636</v>
      </c>
      <c r="C12" s="342" t="s">
        <v>640</v>
      </c>
      <c r="D12" s="343"/>
      <c r="E12" s="344">
        <f>E11</f>
        <v>25</v>
      </c>
    </row>
    <row r="13" spans="2:6" s="337" customFormat="1" ht="14.45" customHeight="1">
      <c r="E13" s="338"/>
    </row>
    <row r="14" spans="2:6" s="337" customFormat="1" ht="12">
      <c r="B14" s="339" t="s">
        <v>641</v>
      </c>
      <c r="C14" s="339" t="s">
        <v>642</v>
      </c>
      <c r="D14" s="339" t="s">
        <v>643</v>
      </c>
      <c r="E14" s="340">
        <v>100</v>
      </c>
    </row>
    <row r="15" spans="2:6" s="337" customFormat="1" ht="12">
      <c r="B15" s="339" t="s">
        <v>641</v>
      </c>
      <c r="C15" s="339" t="s">
        <v>644</v>
      </c>
      <c r="D15" s="339" t="s">
        <v>645</v>
      </c>
      <c r="E15" s="340">
        <v>55</v>
      </c>
    </row>
    <row r="16" spans="2:6" s="337" customFormat="1" ht="12">
      <c r="B16" s="339" t="s">
        <v>641</v>
      </c>
      <c r="C16" s="339" t="s">
        <v>646</v>
      </c>
      <c r="D16" s="339" t="s">
        <v>647</v>
      </c>
      <c r="E16" s="340">
        <v>75</v>
      </c>
    </row>
    <row r="17" spans="2:5" s="337" customFormat="1" ht="12">
      <c r="B17" s="342" t="s">
        <v>636</v>
      </c>
      <c r="C17" s="342" t="str">
        <f>B16</f>
        <v>Parque de aventuras</v>
      </c>
      <c r="D17" s="343"/>
      <c r="E17" s="344">
        <v>30</v>
      </c>
    </row>
    <row r="18" spans="2:5" s="337" customFormat="1" ht="14.45" customHeight="1">
      <c r="E18" s="338"/>
    </row>
    <row r="19" spans="2:5" s="337" customFormat="1" ht="12">
      <c r="B19" s="339" t="s">
        <v>648</v>
      </c>
      <c r="C19" s="339" t="s">
        <v>642</v>
      </c>
      <c r="D19" s="339" t="s">
        <v>643</v>
      </c>
      <c r="E19" s="340">
        <v>30</v>
      </c>
    </row>
    <row r="20" spans="2:5" s="337" customFormat="1" ht="12">
      <c r="B20" s="339" t="s">
        <v>648</v>
      </c>
      <c r="C20" s="339" t="s">
        <v>649</v>
      </c>
      <c r="D20" s="339" t="s">
        <v>650</v>
      </c>
      <c r="E20" s="340">
        <v>95</v>
      </c>
    </row>
    <row r="21" spans="2:5" s="337" customFormat="1" ht="12">
      <c r="B21" s="339" t="s">
        <v>648</v>
      </c>
      <c r="C21" s="339" t="s">
        <v>644</v>
      </c>
      <c r="D21" s="339" t="s">
        <v>651</v>
      </c>
      <c r="E21" s="340">
        <v>85</v>
      </c>
    </row>
    <row r="22" spans="2:5" s="337" customFormat="1" ht="12">
      <c r="B22" s="342" t="s">
        <v>636</v>
      </c>
      <c r="C22" s="342" t="str">
        <f>B21</f>
        <v>Arvorismo</v>
      </c>
      <c r="D22" s="343"/>
      <c r="E22" s="344">
        <f>AVERAGE(E19:E21)</f>
        <v>70</v>
      </c>
    </row>
    <row r="23" spans="2:5" s="337" customFormat="1" ht="12">
      <c r="E23" s="338"/>
    </row>
    <row r="24" spans="2:5" s="337" customFormat="1" ht="12">
      <c r="E24" s="338"/>
    </row>
    <row r="25" spans="2:5" s="337" customFormat="1" ht="12">
      <c r="B25" s="339"/>
      <c r="C25" s="339" t="s">
        <v>652</v>
      </c>
      <c r="D25" s="339"/>
      <c r="E25" s="345">
        <f>180/25*60</f>
        <v>432</v>
      </c>
    </row>
    <row r="26" spans="2:5" s="337" customFormat="1" ht="12">
      <c r="B26" s="339"/>
      <c r="C26" s="339" t="s">
        <v>653</v>
      </c>
      <c r="D26" s="339"/>
      <c r="E26" s="345">
        <f>109/45*60</f>
        <v>145.33333333333331</v>
      </c>
    </row>
    <row r="27" spans="2:5" s="337" customFormat="1" ht="12">
      <c r="B27" s="339"/>
      <c r="C27" s="339" t="s">
        <v>654</v>
      </c>
      <c r="D27" s="339"/>
      <c r="E27" s="345">
        <f>85*2</f>
        <v>170</v>
      </c>
    </row>
    <row r="28" spans="2:5" s="337" customFormat="1" ht="12">
      <c r="B28" s="342" t="s">
        <v>636</v>
      </c>
      <c r="C28" s="342" t="s">
        <v>655</v>
      </c>
      <c r="D28" s="343"/>
      <c r="E28" s="346">
        <f>E26</f>
        <v>145.33333333333331</v>
      </c>
    </row>
    <row r="29" spans="2:5" s="337" customFormat="1" ht="12">
      <c r="E29" s="338"/>
    </row>
    <row r="30" spans="2:5" s="337" customFormat="1" ht="12">
      <c r="B30" s="342" t="s">
        <v>636</v>
      </c>
      <c r="C30" s="342" t="s">
        <v>56</v>
      </c>
      <c r="D30" s="343" t="s">
        <v>477</v>
      </c>
      <c r="E30" s="344">
        <v>5</v>
      </c>
    </row>
    <row r="31" spans="2:5" s="337" customFormat="1" ht="12">
      <c r="E31" s="338"/>
    </row>
    <row r="32" spans="2:5" s="337" customFormat="1" ht="12">
      <c r="B32" s="342" t="s">
        <v>636</v>
      </c>
      <c r="C32" s="342" t="s">
        <v>173</v>
      </c>
      <c r="D32" s="343"/>
      <c r="E32" s="344">
        <f>2000/10*12</f>
        <v>2400</v>
      </c>
    </row>
    <row r="34" spans="2:5" s="337" customFormat="1" ht="12">
      <c r="B34" s="339"/>
      <c r="C34" s="339" t="s">
        <v>656</v>
      </c>
      <c r="D34" s="339" t="s">
        <v>657</v>
      </c>
      <c r="E34" s="340">
        <f>(2500*12)/28</f>
        <v>1071.4285714285713</v>
      </c>
    </row>
    <row r="35" spans="2:5" s="337" customFormat="1" ht="12">
      <c r="B35" s="339"/>
      <c r="C35" s="339" t="s">
        <v>656</v>
      </c>
      <c r="D35" s="339" t="s">
        <v>657</v>
      </c>
      <c r="E35" s="340">
        <f>(5000*12)/28</f>
        <v>2142.8571428571427</v>
      </c>
    </row>
    <row r="36" spans="2:5" s="337" customFormat="1" ht="12">
      <c r="B36" s="339"/>
      <c r="C36" s="339"/>
      <c r="D36" s="339" t="s">
        <v>658</v>
      </c>
      <c r="E36" s="340">
        <f>(12000*12/140)</f>
        <v>1028.5714285714287</v>
      </c>
    </row>
    <row r="37" spans="2:5" s="337" customFormat="1" ht="12">
      <c r="B37" s="339"/>
      <c r="C37" s="339"/>
      <c r="D37" s="339" t="s">
        <v>658</v>
      </c>
      <c r="E37" s="340">
        <f>15000*12/120</f>
        <v>1500</v>
      </c>
    </row>
    <row r="38" spans="2:5" s="337" customFormat="1" ht="12">
      <c r="B38" s="339"/>
      <c r="C38" s="339"/>
      <c r="D38" s="339" t="s">
        <v>659</v>
      </c>
      <c r="E38" s="340">
        <f>25000*12/240</f>
        <v>1250</v>
      </c>
    </row>
    <row r="39" spans="2:5" s="337" customFormat="1" ht="12">
      <c r="B39" s="339"/>
      <c r="C39" s="339"/>
      <c r="D39" s="339" t="s">
        <v>657</v>
      </c>
      <c r="E39" s="340">
        <f>(5000*12/40)</f>
        <v>1500</v>
      </c>
    </row>
    <row r="40" spans="2:5" s="337" customFormat="1" ht="12">
      <c r="B40" s="339"/>
      <c r="C40" s="339"/>
      <c r="D40" s="339" t="s">
        <v>660</v>
      </c>
      <c r="E40" s="340">
        <f>5000*12/25</f>
        <v>2400</v>
      </c>
    </row>
    <row r="41" spans="2:5" s="337" customFormat="1" ht="12">
      <c r="B41" s="339"/>
      <c r="C41" s="339"/>
      <c r="D41" s="339" t="s">
        <v>660</v>
      </c>
      <c r="E41" s="340">
        <f>8000*12/40</f>
        <v>2400</v>
      </c>
    </row>
    <row r="42" spans="2:5" s="337" customFormat="1" ht="12">
      <c r="B42" s="339"/>
      <c r="C42" s="339"/>
      <c r="D42" s="339" t="s">
        <v>661</v>
      </c>
      <c r="E42" s="340">
        <f>8000*12/80</f>
        <v>1200</v>
      </c>
    </row>
    <row r="43" spans="2:5" s="337" customFormat="1" ht="12">
      <c r="B43" s="342" t="s">
        <v>636</v>
      </c>
      <c r="C43" s="342" t="s">
        <v>662</v>
      </c>
      <c r="D43" s="347" t="s">
        <v>663</v>
      </c>
      <c r="E43" s="344">
        <v>2000</v>
      </c>
    </row>
    <row r="44" spans="2:5" s="337" customFormat="1" ht="12">
      <c r="E44" s="338"/>
    </row>
    <row r="46" spans="2:5">
      <c r="B46" s="349" t="s">
        <v>664</v>
      </c>
      <c r="C46" s="349"/>
      <c r="D46" s="349"/>
      <c r="E46" s="350"/>
    </row>
    <row r="47" spans="2:5">
      <c r="B47" s="337" t="s">
        <v>665</v>
      </c>
      <c r="C47" s="337"/>
      <c r="D47" s="337"/>
      <c r="E47" s="351">
        <v>200</v>
      </c>
    </row>
    <row r="48" spans="2:5">
      <c r="B48" s="337" t="s">
        <v>666</v>
      </c>
      <c r="C48" s="337"/>
      <c r="D48" s="337"/>
      <c r="E48" s="352">
        <v>3</v>
      </c>
    </row>
    <row r="49" spans="2:5">
      <c r="B49" s="337" t="s">
        <v>667</v>
      </c>
      <c r="C49" s="337"/>
      <c r="D49" s="337"/>
      <c r="E49" s="353">
        <f>8*E48*E47</f>
        <v>4800</v>
      </c>
    </row>
    <row r="50" spans="2:5">
      <c r="B50" s="337" t="s">
        <v>668</v>
      </c>
      <c r="C50" s="337"/>
      <c r="D50" s="337"/>
      <c r="E50" s="354">
        <f>E49*22</f>
        <v>105600</v>
      </c>
    </row>
    <row r="51" spans="2:5">
      <c r="B51" s="337" t="s">
        <v>669</v>
      </c>
      <c r="C51" s="337"/>
      <c r="D51" s="337"/>
      <c r="E51" s="355">
        <f>E50*12</f>
        <v>1267200</v>
      </c>
    </row>
    <row r="52" spans="2:5">
      <c r="B52" s="337"/>
      <c r="E52" s="337"/>
    </row>
    <row r="53" spans="2:5">
      <c r="B53" s="356" t="s">
        <v>670</v>
      </c>
      <c r="E53" s="337"/>
    </row>
    <row r="54" spans="2:5">
      <c r="B54" s="337" t="s">
        <v>671</v>
      </c>
      <c r="E54" s="337"/>
    </row>
    <row r="70" spans="3:13" ht="27.6" customHeight="1">
      <c r="C70" s="357" t="s">
        <v>672</v>
      </c>
      <c r="D70" s="358"/>
      <c r="E70" s="359"/>
      <c r="F70" s="358"/>
      <c r="G70" s="358"/>
      <c r="H70" s="358"/>
      <c r="I70" s="358"/>
      <c r="J70" s="358"/>
      <c r="K70" s="358"/>
      <c r="L70" s="358"/>
      <c r="M70" s="358"/>
    </row>
    <row r="71" spans="3:13">
      <c r="C71" s="219" t="s">
        <v>673</v>
      </c>
    </row>
    <row r="72" spans="3:13">
      <c r="L72" s="360" t="s">
        <v>674</v>
      </c>
      <c r="M72" s="360" t="s">
        <v>675</v>
      </c>
    </row>
    <row r="73" spans="3:13">
      <c r="L73" s="361" t="s">
        <v>676</v>
      </c>
      <c r="M73" s="362">
        <v>3800</v>
      </c>
    </row>
    <row r="74" spans="3:13">
      <c r="L74" s="361" t="s">
        <v>677</v>
      </c>
      <c r="M74" s="362">
        <v>6400</v>
      </c>
    </row>
    <row r="75" spans="3:13">
      <c r="L75" s="361" t="s">
        <v>678</v>
      </c>
      <c r="M75" s="362">
        <v>4200</v>
      </c>
    </row>
    <row r="76" spans="3:13">
      <c r="L76" s="361" t="s">
        <v>679</v>
      </c>
      <c r="M76" s="362">
        <v>4000</v>
      </c>
    </row>
    <row r="77" spans="3:13">
      <c r="L77" s="361" t="s">
        <v>680</v>
      </c>
      <c r="M77" s="362">
        <v>3400</v>
      </c>
    </row>
    <row r="78" spans="3:13">
      <c r="L78" s="361" t="s">
        <v>681</v>
      </c>
      <c r="M78" s="362">
        <v>17000</v>
      </c>
    </row>
    <row r="79" spans="3:13">
      <c r="L79" s="361" t="s">
        <v>682</v>
      </c>
      <c r="M79" s="362">
        <v>17000</v>
      </c>
    </row>
    <row r="80" spans="3:13">
      <c r="L80" s="361" t="s">
        <v>683</v>
      </c>
      <c r="M80" s="362">
        <v>3800</v>
      </c>
    </row>
    <row r="81" spans="12:13">
      <c r="L81" s="361" t="s">
        <v>684</v>
      </c>
      <c r="M81" s="362">
        <v>300</v>
      </c>
    </row>
    <row r="82" spans="12:13">
      <c r="L82" s="361" t="s">
        <v>685</v>
      </c>
      <c r="M82" s="362">
        <v>250</v>
      </c>
    </row>
    <row r="83" spans="12:13">
      <c r="L83" s="361" t="s">
        <v>686</v>
      </c>
      <c r="M83" s="362">
        <v>700</v>
      </c>
    </row>
    <row r="84" spans="12:13">
      <c r="L84" s="361" t="s">
        <v>687</v>
      </c>
      <c r="M84" s="362">
        <v>3300</v>
      </c>
    </row>
    <row r="85" spans="12:13">
      <c r="L85" s="361" t="s">
        <v>688</v>
      </c>
      <c r="M85" s="362">
        <v>5000</v>
      </c>
    </row>
    <row r="86" spans="12:13">
      <c r="L86" s="361" t="s">
        <v>689</v>
      </c>
      <c r="M86" s="362">
        <v>200</v>
      </c>
    </row>
    <row r="105" spans="2:7" ht="38.25">
      <c r="B105" s="363" t="s">
        <v>690</v>
      </c>
      <c r="C105" s="363" t="s">
        <v>691</v>
      </c>
      <c r="D105" s="364" t="s">
        <v>692</v>
      </c>
      <c r="E105" s="363" t="s">
        <v>693</v>
      </c>
      <c r="F105" s="363" t="s">
        <v>694</v>
      </c>
      <c r="G105" s="363" t="s">
        <v>695</v>
      </c>
    </row>
    <row r="106" spans="2:7">
      <c r="B106" s="365" t="s">
        <v>696</v>
      </c>
      <c r="C106" s="366">
        <f>AVERAGE(C107:C115)</f>
        <v>13098.533333333333</v>
      </c>
      <c r="D106" s="365"/>
      <c r="E106" s="367"/>
      <c r="F106" s="366">
        <f>AVERAGE(F107:F115)</f>
        <v>0.33854765110397639</v>
      </c>
      <c r="G106" s="365"/>
    </row>
    <row r="107" spans="2:7" ht="67.5">
      <c r="B107" s="368" t="s">
        <v>697</v>
      </c>
      <c r="C107" s="369">
        <v>56311.199999999997</v>
      </c>
      <c r="D107" s="370">
        <f>M73+M74+M79</f>
        <v>27200</v>
      </c>
      <c r="E107" s="371">
        <v>3</v>
      </c>
      <c r="F107" s="372">
        <f>C107/D107/E107</f>
        <v>0.69008823529411767</v>
      </c>
      <c r="G107" s="373" t="s">
        <v>698</v>
      </c>
    </row>
    <row r="108" spans="2:7" ht="78.75">
      <c r="B108" s="368" t="s">
        <v>699</v>
      </c>
      <c r="C108" s="369">
        <v>4456.8</v>
      </c>
      <c r="D108" s="370">
        <f>M74</f>
        <v>6400</v>
      </c>
      <c r="E108" s="371">
        <v>2</v>
      </c>
      <c r="F108" s="372">
        <f t="shared" ref="F108:F115" si="0">C108/D108/E108</f>
        <v>0.34818750000000004</v>
      </c>
      <c r="G108" s="373" t="s">
        <v>700</v>
      </c>
    </row>
    <row r="109" spans="2:7" ht="76.5">
      <c r="B109" s="368" t="s">
        <v>701</v>
      </c>
      <c r="C109" s="372">
        <v>10321</v>
      </c>
      <c r="D109" s="370">
        <f>M73+M74</f>
        <v>10200</v>
      </c>
      <c r="E109" s="371">
        <v>5</v>
      </c>
      <c r="F109" s="372">
        <f t="shared" si="0"/>
        <v>0.20237254901960786</v>
      </c>
      <c r="G109" s="373" t="s">
        <v>702</v>
      </c>
    </row>
    <row r="110" spans="2:7" ht="67.5">
      <c r="B110" s="368" t="s">
        <v>703</v>
      </c>
      <c r="C110" s="374">
        <v>1219.68</v>
      </c>
      <c r="D110" s="370">
        <f>M73</f>
        <v>3800</v>
      </c>
      <c r="E110" s="375">
        <v>1</v>
      </c>
      <c r="F110" s="372">
        <f t="shared" si="0"/>
        <v>0.32096842105263157</v>
      </c>
      <c r="G110" s="373" t="s">
        <v>704</v>
      </c>
    </row>
    <row r="111" spans="2:7" ht="120">
      <c r="B111" s="368" t="s">
        <v>705</v>
      </c>
      <c r="C111" s="374">
        <v>4456.8</v>
      </c>
      <c r="D111" s="370">
        <f>M74</f>
        <v>6400</v>
      </c>
      <c r="E111" s="375">
        <v>3</v>
      </c>
      <c r="F111" s="372">
        <f t="shared" si="0"/>
        <v>0.23212500000000003</v>
      </c>
      <c r="G111" s="376" t="s">
        <v>706</v>
      </c>
    </row>
    <row r="112" spans="2:7" ht="90">
      <c r="B112" s="368" t="s">
        <v>707</v>
      </c>
      <c r="C112" s="374">
        <v>10960.56</v>
      </c>
      <c r="D112" s="370">
        <f>M73+M74+M75</f>
        <v>14400</v>
      </c>
      <c r="E112" s="375">
        <v>3</v>
      </c>
      <c r="F112" s="372">
        <f t="shared" si="0"/>
        <v>0.25371666666666665</v>
      </c>
      <c r="G112" s="376" t="s">
        <v>708</v>
      </c>
    </row>
    <row r="113" spans="2:7" ht="114.75">
      <c r="B113" s="368" t="s">
        <v>709</v>
      </c>
      <c r="C113" s="374">
        <v>14702.36</v>
      </c>
      <c r="D113" s="370">
        <f>M73+M74+M75</f>
        <v>14400</v>
      </c>
      <c r="E113" s="375">
        <v>3</v>
      </c>
      <c r="F113" s="372">
        <f t="shared" si="0"/>
        <v>0.34033240740740744</v>
      </c>
      <c r="G113" s="376" t="s">
        <v>710</v>
      </c>
    </row>
    <row r="114" spans="2:7" ht="120">
      <c r="B114" s="368" t="s">
        <v>711</v>
      </c>
      <c r="C114" s="374">
        <v>5227.2</v>
      </c>
      <c r="D114" s="370">
        <f>M73</f>
        <v>3800</v>
      </c>
      <c r="E114" s="375">
        <v>3</v>
      </c>
      <c r="F114" s="372">
        <f t="shared" si="0"/>
        <v>0.45852631578947367</v>
      </c>
      <c r="G114" s="376" t="s">
        <v>712</v>
      </c>
    </row>
    <row r="115" spans="2:7" ht="135">
      <c r="B115" s="368" t="s">
        <v>713</v>
      </c>
      <c r="C115" s="374">
        <v>10231.200000000001</v>
      </c>
      <c r="D115" s="370">
        <f>M73+M74</f>
        <v>10200</v>
      </c>
      <c r="E115" s="375">
        <v>5</v>
      </c>
      <c r="F115" s="372">
        <f t="shared" si="0"/>
        <v>0.20061176470588235</v>
      </c>
      <c r="G115" s="376" t="s">
        <v>714</v>
      </c>
    </row>
  </sheetData>
  <sheetProtection password="C643" sheet="1" objects="1" scenarios="1"/>
  <hyperlinks>
    <hyperlink ref="B54" r:id="rId1" xr:uid="{00000000-0004-0000-1500-000000000000}"/>
    <hyperlink ref="G110" r:id="rId2" xr:uid="{00000000-0004-0000-1500-000001000000}"/>
    <hyperlink ref="G111" r:id="rId3" xr:uid="{00000000-0004-0000-1500-000002000000}"/>
    <hyperlink ref="G112" r:id="rId4" xr:uid="{00000000-0004-0000-1500-000003000000}"/>
    <hyperlink ref="B113" r:id="rId5" display="https://setur.es.gov.br/Media/Setur/Setur/Pavilh%C3%A3o%20Carapina/8.%20Acaps%20Trade%20Show%20-%2026%20a%2028%20de%20setembro%20de%202023.pdf" xr:uid="{00000000-0004-0000-1500-000004000000}"/>
    <hyperlink ref="G113" r:id="rId6" xr:uid="{00000000-0004-0000-1500-000005000000}"/>
    <hyperlink ref="G114" r:id="rId7" xr:uid="{00000000-0004-0000-1500-000006000000}"/>
    <hyperlink ref="G115" r:id="rId8" xr:uid="{00000000-0004-0000-1500-000007000000}"/>
    <hyperlink ref="F4" r:id="rId9" xr:uid="{00000000-0004-0000-1500-000008000000}"/>
    <hyperlink ref="F3" r:id="rId10" display="https://www.googleadservices.com/pagead/aclk?sa=L&amp;ai=DChcSEwj6kuHXnJ-HAxWNCK0GHQpoA_oYABAAGgJwdg&amp;ase=2&amp;gclid=Cj0KCQjwhb60BhClARIsABGGtw8nCYajOOiUD66mvY55I67i36qe4k7J1BDAi8IhEpD_SzSs7u8WWX8aAvd0EALw_wcB&amp;ohost=www.google.com&amp;cid=CAESVuD2rCQpvK8JZVjPoO4dQbDGOBhtM-uNN0din2KdqSVwWsAWNM_LFkXfz8i_BzDMmVmrbU5R49NfrYPtQvrI6tn75TV3lInGTbkaeS4uXSdRU7sb3I8Y&amp;sig=AOD64_3JiRrZb_uzbcmv7iSYrvC6d7Zswg&amp;q&amp;nis=4&amp;adurl&amp;ved=2ahUKEwi5mNbXnJ-HAxV0rZUCHVSQDIUQ0Qx6BAgDEAE" xr:uid="{00000000-0004-0000-1500-000009000000}"/>
    <hyperlink ref="F5" r:id="rId11" location="ingressos" xr:uid="{00000000-0004-0000-1500-00000A000000}"/>
  </hyperlinks>
  <pageMargins left="0.59055118110236227" right="0.59055118110236227" top="0.78740157480314965" bottom="0.59055118110236227" header="0.19685039370078741" footer="0.31496062992125984"/>
  <pageSetup paperSize="9" orientation="landscape" r:id="rId12"/>
  <headerFooter alignWithMargins="0">
    <oddHeader>&amp;L&amp;G</oddHeader>
  </headerFooter>
  <drawing r:id="rId13"/>
  <legacyDrawingHF r:id="rId1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72"/>
  <sheetViews>
    <sheetView topLeftCell="A47" workbookViewId="0">
      <selection activeCell="B68" sqref="B68"/>
    </sheetView>
  </sheetViews>
  <sheetFormatPr defaultColWidth="8.7109375" defaultRowHeight="12.75"/>
  <cols>
    <col min="1" max="1" width="21.5703125" style="304" bestFit="1" customWidth="1"/>
    <col min="2" max="2" width="73.7109375" style="304" customWidth="1"/>
    <col min="3" max="3" width="8.7109375" style="304"/>
    <col min="4" max="4" width="14.7109375" style="304" bestFit="1" customWidth="1"/>
    <col min="5" max="8" width="8.7109375" style="304"/>
    <col min="9" max="9" width="34.7109375" style="304" customWidth="1"/>
    <col min="10" max="16384" width="8.7109375" style="304"/>
  </cols>
  <sheetData>
    <row r="1" spans="1:3">
      <c r="A1" s="673" t="s">
        <v>715</v>
      </c>
      <c r="B1" s="673"/>
      <c r="C1" s="673"/>
    </row>
    <row r="2" spans="1:3">
      <c r="A2" s="328" t="s">
        <v>716</v>
      </c>
      <c r="B2" s="328" t="s">
        <v>253</v>
      </c>
      <c r="C2" s="328" t="s">
        <v>254</v>
      </c>
    </row>
    <row r="3" spans="1:3" ht="38.25">
      <c r="A3" s="669">
        <v>101134</v>
      </c>
      <c r="B3" s="324" t="s">
        <v>274</v>
      </c>
      <c r="C3" s="321" t="s">
        <v>717</v>
      </c>
    </row>
    <row r="4" spans="1:3">
      <c r="A4" s="669"/>
      <c r="B4" s="322" t="s">
        <v>718</v>
      </c>
      <c r="C4" s="322">
        <v>7.17</v>
      </c>
    </row>
    <row r="5" spans="1:3">
      <c r="A5" s="669"/>
      <c r="B5" s="322" t="s">
        <v>719</v>
      </c>
      <c r="C5" s="322">
        <v>5.51</v>
      </c>
    </row>
    <row r="6" spans="1:3">
      <c r="A6" s="669"/>
      <c r="B6" s="322" t="s">
        <v>720</v>
      </c>
      <c r="C6" s="322">
        <v>2.4300000000000002</v>
      </c>
    </row>
    <row r="7" spans="1:3">
      <c r="A7" s="669"/>
      <c r="B7" s="322" t="s">
        <v>721</v>
      </c>
      <c r="C7" s="322">
        <v>15.11</v>
      </c>
    </row>
    <row r="8" spans="1:3">
      <c r="A8" s="669"/>
      <c r="B8" s="320" t="s">
        <v>722</v>
      </c>
      <c r="C8" s="319">
        <f>C7+(C7*0.33)</f>
        <v>20.096299999999999</v>
      </c>
    </row>
    <row r="9" spans="1:3">
      <c r="A9" s="321"/>
      <c r="B9" s="320"/>
      <c r="C9" s="319"/>
    </row>
    <row r="10" spans="1:3" ht="51">
      <c r="A10" s="669">
        <v>92838</v>
      </c>
      <c r="B10" s="324" t="s">
        <v>723</v>
      </c>
      <c r="C10" s="321" t="s">
        <v>724</v>
      </c>
    </row>
    <row r="11" spans="1:3">
      <c r="A11" s="669"/>
      <c r="B11" s="322" t="s">
        <v>718</v>
      </c>
      <c r="C11" s="322">
        <v>4.76</v>
      </c>
    </row>
    <row r="12" spans="1:3">
      <c r="A12" s="669"/>
      <c r="B12" s="322" t="s">
        <v>725</v>
      </c>
      <c r="C12" s="322">
        <v>3.2</v>
      </c>
    </row>
    <row r="13" spans="1:3">
      <c r="A13" s="669"/>
      <c r="B13" s="322" t="s">
        <v>726</v>
      </c>
      <c r="C13" s="322">
        <v>5.33</v>
      </c>
    </row>
    <row r="14" spans="1:3">
      <c r="A14" s="669"/>
      <c r="B14" s="322" t="s">
        <v>727</v>
      </c>
      <c r="C14" s="322">
        <v>13.29</v>
      </c>
    </row>
    <row r="15" spans="1:3">
      <c r="A15" s="669"/>
      <c r="B15" s="320" t="s">
        <v>722</v>
      </c>
      <c r="C15" s="319">
        <f>C14+(C14*0.33)</f>
        <v>17.675699999999999</v>
      </c>
    </row>
    <row r="16" spans="1:3">
      <c r="A16" s="321"/>
      <c r="B16" s="320"/>
      <c r="C16" s="319"/>
    </row>
    <row r="17" spans="1:3" ht="51">
      <c r="A17" s="669">
        <v>92810</v>
      </c>
      <c r="B17" s="324" t="s">
        <v>728</v>
      </c>
      <c r="C17" s="321" t="s">
        <v>724</v>
      </c>
    </row>
    <row r="18" spans="1:3">
      <c r="A18" s="669"/>
      <c r="B18" s="322" t="s">
        <v>718</v>
      </c>
      <c r="C18" s="322">
        <v>21.21</v>
      </c>
    </row>
    <row r="19" spans="1:3">
      <c r="A19" s="669"/>
      <c r="B19" s="322" t="s">
        <v>725</v>
      </c>
      <c r="C19" s="322">
        <v>16.309999999999999</v>
      </c>
    </row>
    <row r="20" spans="1:3">
      <c r="A20" s="669"/>
      <c r="B20" s="322" t="s">
        <v>726</v>
      </c>
      <c r="C20" s="322">
        <v>29.97</v>
      </c>
    </row>
    <row r="21" spans="1:3">
      <c r="A21" s="669"/>
      <c r="B21" s="322" t="s">
        <v>727</v>
      </c>
      <c r="C21" s="322">
        <v>61.49</v>
      </c>
    </row>
    <row r="22" spans="1:3">
      <c r="A22" s="669"/>
      <c r="B22" s="320" t="s">
        <v>722</v>
      </c>
      <c r="C22" s="319">
        <f>C21+(C21*0.33)</f>
        <v>81.781700000000001</v>
      </c>
    </row>
    <row r="23" spans="1:3">
      <c r="A23" s="321"/>
      <c r="B23" s="320"/>
      <c r="C23" s="319"/>
    </row>
    <row r="24" spans="1:3" ht="38.25">
      <c r="A24" s="669">
        <v>104488</v>
      </c>
      <c r="B24" s="324" t="s">
        <v>279</v>
      </c>
      <c r="C24" s="321" t="s">
        <v>717</v>
      </c>
    </row>
    <row r="25" spans="1:3">
      <c r="A25" s="669"/>
      <c r="B25" s="323" t="s">
        <v>718</v>
      </c>
      <c r="C25" s="327">
        <v>43.73</v>
      </c>
    </row>
    <row r="26" spans="1:3">
      <c r="A26" s="669"/>
      <c r="B26" s="323" t="s">
        <v>719</v>
      </c>
      <c r="C26" s="327">
        <v>2092.87</v>
      </c>
    </row>
    <row r="27" spans="1:3">
      <c r="A27" s="669"/>
      <c r="B27" s="323" t="s">
        <v>729</v>
      </c>
      <c r="C27" s="327">
        <v>406.24</v>
      </c>
    </row>
    <row r="28" spans="1:3">
      <c r="A28" s="669"/>
      <c r="B28" s="323" t="s">
        <v>730</v>
      </c>
      <c r="C28" s="327">
        <v>0.31</v>
      </c>
    </row>
    <row r="29" spans="1:3">
      <c r="A29" s="669"/>
      <c r="B29" s="323" t="s">
        <v>721</v>
      </c>
      <c r="C29" s="327">
        <v>2543.15</v>
      </c>
    </row>
    <row r="30" spans="1:3">
      <c r="A30" s="669"/>
      <c r="B30" s="320" t="s">
        <v>722</v>
      </c>
      <c r="C30" s="326">
        <f>C29+(C29*0.33)</f>
        <v>3382.3895000000002</v>
      </c>
    </row>
    <row r="31" spans="1:3">
      <c r="A31" s="321"/>
      <c r="B31" s="322"/>
      <c r="C31" s="319"/>
    </row>
    <row r="32" spans="1:3" ht="38.25">
      <c r="A32" s="669">
        <v>96397</v>
      </c>
      <c r="B32" s="324" t="s">
        <v>731</v>
      </c>
      <c r="C32" s="321" t="s">
        <v>717</v>
      </c>
    </row>
    <row r="33" spans="1:3">
      <c r="A33" s="669"/>
      <c r="B33" s="323" t="s">
        <v>718</v>
      </c>
      <c r="C33" s="322">
        <v>11.41</v>
      </c>
    </row>
    <row r="34" spans="1:3">
      <c r="A34" s="669"/>
      <c r="B34" s="323" t="s">
        <v>719</v>
      </c>
      <c r="C34" s="322">
        <v>464</v>
      </c>
    </row>
    <row r="35" spans="1:3">
      <c r="A35" s="669"/>
      <c r="B35" s="323" t="s">
        <v>729</v>
      </c>
      <c r="C35" s="322">
        <v>5.22</v>
      </c>
    </row>
    <row r="36" spans="1:3">
      <c r="A36" s="669"/>
      <c r="B36" s="323" t="s">
        <v>730</v>
      </c>
      <c r="C36" s="322">
        <v>0.44</v>
      </c>
    </row>
    <row r="37" spans="1:3">
      <c r="A37" s="669"/>
      <c r="B37" s="323" t="s">
        <v>721</v>
      </c>
      <c r="C37" s="322">
        <v>481.07</v>
      </c>
    </row>
    <row r="38" spans="1:3">
      <c r="A38" s="669"/>
      <c r="B38" s="320" t="s">
        <v>722</v>
      </c>
      <c r="C38" s="319">
        <f>C37+(C37*0.33)</f>
        <v>639.82310000000007</v>
      </c>
    </row>
    <row r="39" spans="1:3">
      <c r="A39" s="321"/>
      <c r="B39" s="322"/>
      <c r="C39" s="319"/>
    </row>
    <row r="40" spans="1:3" ht="25.5">
      <c r="A40" s="669">
        <v>98528</v>
      </c>
      <c r="B40" s="324" t="s">
        <v>732</v>
      </c>
      <c r="C40" s="321" t="s">
        <v>733</v>
      </c>
    </row>
    <row r="41" spans="1:3">
      <c r="A41" s="669"/>
      <c r="B41" s="323" t="s">
        <v>718</v>
      </c>
      <c r="C41" s="322">
        <v>77.16</v>
      </c>
    </row>
    <row r="42" spans="1:3">
      <c r="A42" s="669"/>
      <c r="B42" s="323" t="s">
        <v>719</v>
      </c>
      <c r="C42" s="322">
        <v>59.13</v>
      </c>
    </row>
    <row r="43" spans="1:3">
      <c r="A43" s="669"/>
      <c r="B43" s="323" t="s">
        <v>729</v>
      </c>
      <c r="C43" s="322">
        <v>110.24</v>
      </c>
    </row>
    <row r="44" spans="1:3">
      <c r="A44" s="669"/>
      <c r="B44" s="323" t="s">
        <v>721</v>
      </c>
      <c r="C44" s="322">
        <v>246.53</v>
      </c>
    </row>
    <row r="45" spans="1:3">
      <c r="A45" s="669"/>
      <c r="B45" s="320" t="s">
        <v>722</v>
      </c>
      <c r="C45" s="319">
        <f>C44+(C44*0.33)</f>
        <v>327.88490000000002</v>
      </c>
    </row>
    <row r="46" spans="1:3">
      <c r="A46" s="321"/>
      <c r="B46" s="322"/>
      <c r="C46" s="319"/>
    </row>
    <row r="47" spans="1:3" ht="25.5">
      <c r="A47" s="674">
        <v>98531</v>
      </c>
      <c r="B47" s="324" t="s">
        <v>734</v>
      </c>
      <c r="C47" s="321" t="s">
        <v>733</v>
      </c>
    </row>
    <row r="48" spans="1:3">
      <c r="A48" s="674"/>
      <c r="B48" s="323" t="s">
        <v>718</v>
      </c>
      <c r="C48" s="322">
        <v>89.43</v>
      </c>
    </row>
    <row r="49" spans="1:3">
      <c r="A49" s="674"/>
      <c r="B49" s="323" t="s">
        <v>719</v>
      </c>
      <c r="C49" s="322">
        <v>57.41</v>
      </c>
    </row>
    <row r="50" spans="1:3">
      <c r="A50" s="674"/>
      <c r="B50" s="323" t="s">
        <v>729</v>
      </c>
      <c r="C50" s="322">
        <v>133.1</v>
      </c>
    </row>
    <row r="51" spans="1:3">
      <c r="A51" s="674"/>
      <c r="B51" s="323" t="s">
        <v>721</v>
      </c>
      <c r="C51" s="322">
        <v>279.94</v>
      </c>
    </row>
    <row r="52" spans="1:3">
      <c r="A52" s="674"/>
      <c r="B52" s="320" t="s">
        <v>722</v>
      </c>
      <c r="C52" s="319">
        <f>C51+(C51*0.33)</f>
        <v>372.3202</v>
      </c>
    </row>
    <row r="53" spans="1:3">
      <c r="A53" s="325"/>
      <c r="B53" s="322"/>
      <c r="C53" s="319"/>
    </row>
    <row r="54" spans="1:3" ht="25.5">
      <c r="A54" s="674">
        <v>97623</v>
      </c>
      <c r="B54" s="324" t="s">
        <v>267</v>
      </c>
      <c r="C54" s="321" t="s">
        <v>717</v>
      </c>
    </row>
    <row r="55" spans="1:3">
      <c r="A55" s="674"/>
      <c r="B55" s="323" t="s">
        <v>719</v>
      </c>
      <c r="C55" s="322">
        <v>49.46</v>
      </c>
    </row>
    <row r="56" spans="1:3">
      <c r="A56" s="674"/>
      <c r="B56" s="323" t="s">
        <v>729</v>
      </c>
      <c r="C56" s="322">
        <v>116.06</v>
      </c>
    </row>
    <row r="57" spans="1:3">
      <c r="A57" s="674"/>
      <c r="B57" s="323" t="s">
        <v>721</v>
      </c>
      <c r="C57" s="322">
        <v>165.52</v>
      </c>
    </row>
    <row r="58" spans="1:3">
      <c r="A58" s="674"/>
      <c r="B58" s="320" t="s">
        <v>722</v>
      </c>
      <c r="C58" s="319">
        <f>C57+(C57*0.33)</f>
        <v>220.14160000000001</v>
      </c>
    </row>
    <row r="59" spans="1:3">
      <c r="A59" s="325"/>
      <c r="B59" s="322"/>
      <c r="C59" s="319"/>
    </row>
    <row r="60" spans="1:3" ht="25.5">
      <c r="A60" s="669">
        <v>104790</v>
      </c>
      <c r="B60" s="324" t="s">
        <v>269</v>
      </c>
      <c r="C60" s="321" t="s">
        <v>717</v>
      </c>
    </row>
    <row r="61" spans="1:3">
      <c r="A61" s="669"/>
      <c r="B61" s="323" t="s">
        <v>718</v>
      </c>
      <c r="C61" s="322">
        <v>33.159999999999997</v>
      </c>
    </row>
    <row r="62" spans="1:3">
      <c r="A62" s="669"/>
      <c r="B62" s="323" t="s">
        <v>719</v>
      </c>
      <c r="C62" s="322">
        <v>30.26</v>
      </c>
    </row>
    <row r="63" spans="1:3">
      <c r="A63" s="669"/>
      <c r="B63" s="323" t="s">
        <v>729</v>
      </c>
      <c r="C63" s="322">
        <v>41.7</v>
      </c>
    </row>
    <row r="64" spans="1:3">
      <c r="A64" s="669"/>
      <c r="B64" s="323" t="s">
        <v>721</v>
      </c>
      <c r="C64" s="322">
        <v>105.12</v>
      </c>
    </row>
    <row r="65" spans="1:5">
      <c r="A65" s="669"/>
      <c r="B65" s="320" t="s">
        <v>722</v>
      </c>
      <c r="C65" s="319">
        <f>C64+(C64*0.33)</f>
        <v>139.80960000000002</v>
      </c>
    </row>
    <row r="66" spans="1:5" ht="13.5" thickBot="1"/>
    <row r="67" spans="1:5" ht="15">
      <c r="A67" s="670" t="s">
        <v>735</v>
      </c>
      <c r="B67" s="671"/>
      <c r="C67" s="671"/>
      <c r="D67" s="671"/>
      <c r="E67" s="672"/>
    </row>
    <row r="68" spans="1:5" ht="57.75" thickBot="1">
      <c r="A68" s="318" t="s">
        <v>736</v>
      </c>
      <c r="B68" s="317"/>
      <c r="C68" s="316"/>
      <c r="D68" s="316"/>
      <c r="E68" s="316">
        <f>793.32+79.33</f>
        <v>872.65000000000009</v>
      </c>
    </row>
    <row r="69" spans="1:5" ht="86.25" thickBot="1">
      <c r="A69" s="318" t="s">
        <v>737</v>
      </c>
      <c r="B69" s="317"/>
      <c r="C69" s="316"/>
      <c r="D69" s="316"/>
      <c r="E69" s="316">
        <v>2.3199999999999998</v>
      </c>
    </row>
    <row r="70" spans="1:5" ht="57.75" thickBot="1">
      <c r="A70" s="318" t="s">
        <v>738</v>
      </c>
      <c r="B70" s="317"/>
      <c r="C70" s="316"/>
      <c r="D70" s="316"/>
      <c r="E70" s="316">
        <v>2.2000000000000002</v>
      </c>
    </row>
    <row r="71" spans="1:5" ht="15">
      <c r="A71" s="670" t="s">
        <v>739</v>
      </c>
      <c r="B71" s="671"/>
      <c r="C71" s="671"/>
      <c r="D71" s="671"/>
      <c r="E71" s="672"/>
    </row>
    <row r="72" spans="1:5" ht="43.5" thickBot="1">
      <c r="A72" s="318" t="s">
        <v>740</v>
      </c>
      <c r="B72" s="317"/>
      <c r="C72" s="316"/>
      <c r="D72" s="316"/>
      <c r="E72" s="316">
        <v>15800</v>
      </c>
    </row>
  </sheetData>
  <sheetProtection password="C643" sheet="1" objects="1" scenarios="1"/>
  <mergeCells count="12">
    <mergeCell ref="A40:A45"/>
    <mergeCell ref="A32:A38"/>
    <mergeCell ref="A71:E71"/>
    <mergeCell ref="A67:E67"/>
    <mergeCell ref="A1:C1"/>
    <mergeCell ref="A24:A30"/>
    <mergeCell ref="A17:A22"/>
    <mergeCell ref="A10:A15"/>
    <mergeCell ref="A3:A8"/>
    <mergeCell ref="A60:A65"/>
    <mergeCell ref="A54:A58"/>
    <mergeCell ref="A47:A52"/>
  </mergeCells>
  <pageMargins left="0.7" right="0.7" top="0.75" bottom="0.75" header="0.3" footer="0.3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I48"/>
  <sheetViews>
    <sheetView topLeftCell="Z1" workbookViewId="0">
      <selection activeCell="AH13" sqref="AH13"/>
    </sheetView>
  </sheetViews>
  <sheetFormatPr defaultRowHeight="15"/>
  <cols>
    <col min="1" max="1" width="8.85546875" customWidth="1"/>
    <col min="2" max="2" width="32.42578125" bestFit="1" customWidth="1"/>
    <col min="3" max="3" width="14.28515625" style="537" bestFit="1" customWidth="1"/>
    <col min="4" max="32" width="14.28515625" bestFit="1" customWidth="1"/>
  </cols>
  <sheetData>
    <row r="2" spans="2:35">
      <c r="C2" s="563">
        <v>1</v>
      </c>
      <c r="D2" s="563">
        <v>2</v>
      </c>
      <c r="E2" s="563">
        <v>3</v>
      </c>
      <c r="F2" s="563">
        <v>4</v>
      </c>
      <c r="G2" s="563">
        <v>5</v>
      </c>
      <c r="H2" s="563">
        <v>6</v>
      </c>
      <c r="I2" s="563">
        <v>7</v>
      </c>
      <c r="J2" s="563">
        <v>8</v>
      </c>
      <c r="K2" s="563">
        <v>9</v>
      </c>
      <c r="L2" s="563">
        <v>10</v>
      </c>
      <c r="M2" s="563">
        <v>11</v>
      </c>
      <c r="N2" s="563">
        <v>12</v>
      </c>
      <c r="O2" s="563">
        <v>13</v>
      </c>
      <c r="P2" s="563">
        <v>14</v>
      </c>
      <c r="Q2" s="563">
        <v>15</v>
      </c>
      <c r="R2" s="563">
        <v>16</v>
      </c>
      <c r="S2" s="563">
        <v>17</v>
      </c>
      <c r="T2" s="563">
        <v>18</v>
      </c>
      <c r="U2" s="563">
        <v>19</v>
      </c>
      <c r="V2" s="563">
        <v>20</v>
      </c>
      <c r="W2" s="563">
        <v>21</v>
      </c>
      <c r="X2" s="563">
        <v>22</v>
      </c>
      <c r="Y2" s="563">
        <v>23</v>
      </c>
      <c r="Z2" s="563">
        <v>24</v>
      </c>
      <c r="AA2" s="563">
        <v>25</v>
      </c>
      <c r="AB2" s="563">
        <v>26</v>
      </c>
      <c r="AC2" s="563">
        <v>27</v>
      </c>
      <c r="AD2" s="563">
        <v>28</v>
      </c>
      <c r="AE2" s="563">
        <v>29</v>
      </c>
      <c r="AF2" s="563">
        <v>30</v>
      </c>
      <c r="AG2" s="561"/>
      <c r="AH2" s="561"/>
      <c r="AI2" s="561"/>
    </row>
    <row r="3" spans="2:35">
      <c r="B3" s="556" t="str">
        <f>FCF!A5</f>
        <v>Ingressos operacionais líquidos</v>
      </c>
      <c r="C3" s="557">
        <f>FCF!E5</f>
        <v>8408.8060465005274</v>
      </c>
      <c r="D3" s="557">
        <f>FCF!F5</f>
        <v>12691.548526090954</v>
      </c>
      <c r="E3" s="557">
        <f>FCF!G5</f>
        <v>13250.627427234751</v>
      </c>
      <c r="F3" s="557">
        <f>FCF!H5</f>
        <v>13283.112967897392</v>
      </c>
      <c r="G3" s="557">
        <f>FCF!I5</f>
        <v>13315.708959398286</v>
      </c>
      <c r="H3" s="557">
        <f>FCF!J5</f>
        <v>13348.415777270284</v>
      </c>
      <c r="I3" s="557">
        <f>FCF!K5</f>
        <v>13381.233798323046</v>
      </c>
      <c r="J3" s="557">
        <f>FCF!L5</f>
        <v>13414.163400647387</v>
      </c>
      <c r="K3" s="557">
        <f>FCF!M5</f>
        <v>13447.20496361963</v>
      </c>
      <c r="L3" s="557">
        <f>FCF!N5</f>
        <v>13480.358867905978</v>
      </c>
      <c r="M3" s="557">
        <f>FCF!O5</f>
        <v>13513.625495466902</v>
      </c>
      <c r="N3" s="557">
        <f>FCF!P5</f>
        <v>13547.005229561531</v>
      </c>
      <c r="O3" s="557">
        <f>FCF!Q5</f>
        <v>13580.498454752083</v>
      </c>
      <c r="P3" s="557">
        <f>FCF!R5</f>
        <v>13614.105556908286</v>
      </c>
      <c r="Q3" s="557">
        <f>FCF!S5</f>
        <v>13647.826923211813</v>
      </c>
      <c r="R3" s="557">
        <f>FCF!T5</f>
        <v>13681.662942160776</v>
      </c>
      <c r="S3" s="557">
        <f>FCF!U5</f>
        <v>13715.614003574166</v>
      </c>
      <c r="T3" s="557">
        <f>FCF!V5</f>
        <v>13749.680498596363</v>
      </c>
      <c r="U3" s="557">
        <f>FCF!W5</f>
        <v>13783.862819701633</v>
      </c>
      <c r="V3" s="557">
        <f>FCF!X5</f>
        <v>13818.161360698658</v>
      </c>
      <c r="W3" s="557">
        <f>FCF!Y5</f>
        <v>13852.576516735078</v>
      </c>
      <c r="X3" s="557">
        <f>FCF!Z5</f>
        <v>13887.10868430202</v>
      </c>
      <c r="Y3" s="557">
        <f>FCF!AA5</f>
        <v>13921.758261238689</v>
      </c>
      <c r="Z3" s="557">
        <f>FCF!AB5</f>
        <v>13956.525646736944</v>
      </c>
      <c r="AA3" s="557">
        <f>FCF!AC5</f>
        <v>13991.41124134589</v>
      </c>
      <c r="AB3" s="557">
        <f>FCF!AD5</f>
        <v>14026.415446976511</v>
      </c>
      <c r="AC3" s="557">
        <f>FCF!AE5</f>
        <v>14061.538666906272</v>
      </c>
      <c r="AD3" s="557">
        <f>FCF!AF5</f>
        <v>14096.781305783796</v>
      </c>
      <c r="AE3" s="557">
        <f>FCF!AG5</f>
        <v>14132.1437696335</v>
      </c>
      <c r="AF3" s="557">
        <f>FCF!AH5</f>
        <v>14167.6264658603</v>
      </c>
    </row>
    <row r="4" spans="2:35">
      <c r="B4" s="560" t="str">
        <f>FCF!A6</f>
        <v>Receita do período</v>
      </c>
      <c r="C4" s="562">
        <f>FCF!E6</f>
        <v>8408.8060465005274</v>
      </c>
      <c r="D4" s="562">
        <f>FCF!F6</f>
        <v>12691.548526090954</v>
      </c>
      <c r="E4" s="562">
        <f>FCF!G6</f>
        <v>13250.627427234751</v>
      </c>
      <c r="F4" s="562">
        <f>FCF!H6</f>
        <v>13283.112967897392</v>
      </c>
      <c r="G4" s="562">
        <f>FCF!I6</f>
        <v>13315.708959398286</v>
      </c>
      <c r="H4" s="562">
        <f>FCF!J6</f>
        <v>13348.415777270284</v>
      </c>
      <c r="I4" s="562">
        <f>FCF!K6</f>
        <v>13381.233798323046</v>
      </c>
      <c r="J4" s="562">
        <f>FCF!L6</f>
        <v>13414.163400647387</v>
      </c>
      <c r="K4" s="562">
        <f>FCF!M6</f>
        <v>13447.20496361963</v>
      </c>
      <c r="L4" s="562">
        <f>FCF!N6</f>
        <v>13480.358867905978</v>
      </c>
      <c r="M4" s="562">
        <f>FCF!O6</f>
        <v>13513.625495466902</v>
      </c>
      <c r="N4" s="562">
        <f>FCF!P6</f>
        <v>13547.005229561531</v>
      </c>
      <c r="O4" s="562">
        <f>FCF!Q6</f>
        <v>13580.498454752083</v>
      </c>
      <c r="P4" s="562">
        <f>FCF!R6</f>
        <v>13614.105556908286</v>
      </c>
      <c r="Q4" s="562">
        <f>FCF!S6</f>
        <v>13647.826923211813</v>
      </c>
      <c r="R4" s="562">
        <f>FCF!T6</f>
        <v>13681.662942160776</v>
      </c>
      <c r="S4" s="562">
        <f>FCF!U6</f>
        <v>13715.614003574166</v>
      </c>
      <c r="T4" s="562">
        <f>FCF!V6</f>
        <v>13749.680498596363</v>
      </c>
      <c r="U4" s="562">
        <f>FCF!W6</f>
        <v>13783.862819701633</v>
      </c>
      <c r="V4" s="562">
        <f>FCF!X6</f>
        <v>13818.161360698658</v>
      </c>
      <c r="W4" s="562">
        <f>FCF!Y6</f>
        <v>13852.576516735078</v>
      </c>
      <c r="X4" s="562">
        <f>FCF!Z6</f>
        <v>13887.10868430202</v>
      </c>
      <c r="Y4" s="562">
        <f>FCF!AA6</f>
        <v>13921.758261238689</v>
      </c>
      <c r="Z4" s="562">
        <f>FCF!AB6</f>
        <v>13956.525646736944</v>
      </c>
      <c r="AA4" s="562">
        <f>FCF!AC6</f>
        <v>13991.41124134589</v>
      </c>
      <c r="AB4" s="562">
        <f>FCF!AD6</f>
        <v>14026.415446976511</v>
      </c>
      <c r="AC4" s="562">
        <f>FCF!AE6</f>
        <v>14061.538666906272</v>
      </c>
      <c r="AD4" s="562">
        <f>FCF!AF6</f>
        <v>14096.781305783796</v>
      </c>
      <c r="AE4" s="562">
        <f>FCF!AG6</f>
        <v>14132.1437696335</v>
      </c>
      <c r="AF4" s="562">
        <f>FCF!AH6</f>
        <v>14167.6264658603</v>
      </c>
    </row>
    <row r="5" spans="2:35">
      <c r="B5" s="560" t="str">
        <f>FCF!A7</f>
        <v>Inadimplência</v>
      </c>
      <c r="C5" s="562">
        <f>FCF!E7</f>
        <v>0</v>
      </c>
      <c r="D5" s="562">
        <f>FCF!F7</f>
        <v>0</v>
      </c>
      <c r="E5" s="562">
        <f>FCF!G7</f>
        <v>0</v>
      </c>
      <c r="F5" s="562">
        <f>FCF!H7</f>
        <v>0</v>
      </c>
      <c r="G5" s="562">
        <f>FCF!I7</f>
        <v>0</v>
      </c>
      <c r="H5" s="562">
        <f>FCF!J7</f>
        <v>0</v>
      </c>
      <c r="I5" s="562">
        <f>FCF!K7</f>
        <v>0</v>
      </c>
      <c r="J5" s="562">
        <f>FCF!L7</f>
        <v>0</v>
      </c>
      <c r="K5" s="562">
        <f>FCF!M7</f>
        <v>0</v>
      </c>
      <c r="L5" s="562">
        <f>FCF!N7</f>
        <v>0</v>
      </c>
      <c r="M5" s="562">
        <f>FCF!O7</f>
        <v>0</v>
      </c>
      <c r="N5" s="562">
        <f>FCF!P7</f>
        <v>0</v>
      </c>
      <c r="O5" s="562">
        <f>FCF!Q7</f>
        <v>0</v>
      </c>
      <c r="P5" s="562">
        <f>FCF!R7</f>
        <v>0</v>
      </c>
      <c r="Q5" s="562">
        <f>FCF!S7</f>
        <v>0</v>
      </c>
      <c r="R5" s="562">
        <f>FCF!T7</f>
        <v>0</v>
      </c>
      <c r="S5" s="562">
        <f>FCF!U7</f>
        <v>0</v>
      </c>
      <c r="T5" s="562">
        <f>FCF!V7</f>
        <v>0</v>
      </c>
      <c r="U5" s="562">
        <f>FCF!W7</f>
        <v>0</v>
      </c>
      <c r="V5" s="562">
        <f>FCF!X7</f>
        <v>0</v>
      </c>
      <c r="W5" s="562">
        <f>FCF!Y7</f>
        <v>0</v>
      </c>
      <c r="X5" s="562">
        <f>FCF!Z7</f>
        <v>0</v>
      </c>
      <c r="Y5" s="562">
        <f>FCF!AA7</f>
        <v>0</v>
      </c>
      <c r="Z5" s="562">
        <f>FCF!AB7</f>
        <v>0</v>
      </c>
      <c r="AA5" s="562">
        <f>FCF!AC7</f>
        <v>0</v>
      </c>
      <c r="AB5" s="562">
        <f>FCF!AD7</f>
        <v>0</v>
      </c>
      <c r="AC5" s="562">
        <f>FCF!AE7</f>
        <v>0</v>
      </c>
      <c r="AD5" s="562">
        <f>FCF!AF7</f>
        <v>0</v>
      </c>
      <c r="AE5" s="562">
        <f>FCF!AG7</f>
        <v>0</v>
      </c>
      <c r="AF5" s="562">
        <f>FCF!AH7</f>
        <v>0</v>
      </c>
    </row>
    <row r="6" spans="2:35">
      <c r="B6" s="556" t="str">
        <f>FCF!A8</f>
        <v>Saques operacionais</v>
      </c>
      <c r="C6" s="557">
        <f>FCF!E8</f>
        <v>-3714.7326626415665</v>
      </c>
      <c r="D6" s="557">
        <f>FCF!F8</f>
        <v>-7161.7592518508609</v>
      </c>
      <c r="E6" s="557">
        <f>FCF!G8</f>
        <v>-9446.7498596850837</v>
      </c>
      <c r="F6" s="557">
        <f>FCF!H8</f>
        <v>-9453.1758244835619</v>
      </c>
      <c r="G6" s="557">
        <f>FCF!I8</f>
        <v>-9459.6236375623539</v>
      </c>
      <c r="H6" s="557">
        <f>FCF!J8</f>
        <v>-9466.0933732056146</v>
      </c>
      <c r="I6" s="557">
        <f>FCF!K8</f>
        <v>-9472.5851059500601</v>
      </c>
      <c r="J6" s="557">
        <f>FCF!L8</f>
        <v>-9479.0989105858389</v>
      </c>
      <c r="K6" s="557">
        <f>FCF!M8</f>
        <v>-9485.6348621573779</v>
      </c>
      <c r="L6" s="557">
        <f>FCF!N8</f>
        <v>-9492.1930359642611</v>
      </c>
      <c r="M6" s="557">
        <f>FCF!O8</f>
        <v>-9498.7735075620876</v>
      </c>
      <c r="N6" s="557">
        <f>FCF!P8</f>
        <v>-9505.3763527633455</v>
      </c>
      <c r="O6" s="557">
        <f>FCF!Q8</f>
        <v>-9512.001647638288</v>
      </c>
      <c r="P6" s="557">
        <f>FCF!R8</f>
        <v>-9518.6494685158068</v>
      </c>
      <c r="Q6" s="557">
        <f>FCF!S8</f>
        <v>-9525.3198919843071</v>
      </c>
      <c r="R6" s="557">
        <f>FCF!T8</f>
        <v>-9532.0129948926024</v>
      </c>
      <c r="S6" s="557">
        <f>FCF!U8</f>
        <v>-9538.7288543507857</v>
      </c>
      <c r="T6" s="557">
        <f>FCF!V8</f>
        <v>-9545.4675477311248</v>
      </c>
      <c r="U6" s="557">
        <f>FCF!W8</f>
        <v>-9552.2291526689587</v>
      </c>
      <c r="V6" s="557">
        <f>FCF!X8</f>
        <v>-9559.0137470635818</v>
      </c>
      <c r="W6" s="557">
        <f>FCF!Y8</f>
        <v>-9565.8214090791462</v>
      </c>
      <c r="X6" s="557">
        <f>FCF!Z8</f>
        <v>-9572.6522171455617</v>
      </c>
      <c r="Y6" s="557">
        <f>FCF!AA8</f>
        <v>-9579.5062499594042</v>
      </c>
      <c r="Z6" s="557">
        <f>FCF!AB8</f>
        <v>-9586.3835864848133</v>
      </c>
      <c r="AA6" s="557">
        <f>FCF!AC8</f>
        <v>-9593.2843059544102</v>
      </c>
      <c r="AB6" s="557">
        <f>FCF!AD8</f>
        <v>-9600.2084878702026</v>
      </c>
      <c r="AC6" s="557">
        <f>FCF!AE8</f>
        <v>-9607.1562120045091</v>
      </c>
      <c r="AD6" s="557">
        <f>FCF!AF8</f>
        <v>-9614.1275584008727</v>
      </c>
      <c r="AE6" s="557">
        <f>FCF!AG8</f>
        <v>-9621.1226073749822</v>
      </c>
      <c r="AF6" s="557">
        <f>FCF!AH8</f>
        <v>-9628.1414395156062</v>
      </c>
    </row>
    <row r="7" spans="2:35">
      <c r="B7" s="560" t="str">
        <f>FCF!A9</f>
        <v>Impostos indiretos</v>
      </c>
      <c r="C7" s="562">
        <f>FCF!E9</f>
        <v>-487.07687162478447</v>
      </c>
      <c r="D7" s="562">
        <f>FCF!F9</f>
        <v>-857.53409610935637</v>
      </c>
      <c r="E7" s="562">
        <f>FCF!G9</f>
        <v>-1146.1792724558059</v>
      </c>
      <c r="F7" s="562">
        <f>FCF!H9</f>
        <v>-1148.9892717231246</v>
      </c>
      <c r="G7" s="562">
        <f>FCF!I9</f>
        <v>-1151.8088249879518</v>
      </c>
      <c r="H7" s="562">
        <f>FCF!J9</f>
        <v>-1154.6379647338795</v>
      </c>
      <c r="I7" s="562">
        <f>FCF!K9</f>
        <v>-1157.4767235549434</v>
      </c>
      <c r="J7" s="562">
        <f>FCF!L9</f>
        <v>-1160.325134155999</v>
      </c>
      <c r="K7" s="562">
        <f>FCF!M9</f>
        <v>-1163.1832293530979</v>
      </c>
      <c r="L7" s="562">
        <f>FCF!N9</f>
        <v>-1166.0510420738672</v>
      </c>
      <c r="M7" s="562">
        <f>FCF!O9</f>
        <v>-1168.9286053578871</v>
      </c>
      <c r="N7" s="562">
        <f>FCF!P9</f>
        <v>-1171.8159523570725</v>
      </c>
      <c r="O7" s="562">
        <f>FCF!Q9</f>
        <v>-1174.7131163360552</v>
      </c>
      <c r="P7" s="562">
        <f>FCF!R9</f>
        <v>-1177.6201306725668</v>
      </c>
      <c r="Q7" s="562">
        <f>FCF!S9</f>
        <v>-1180.537028857822</v>
      </c>
      <c r="R7" s="562">
        <f>FCF!T9</f>
        <v>-1183.4638444969071</v>
      </c>
      <c r="S7" s="562">
        <f>FCF!U9</f>
        <v>-1186.4006113091655</v>
      </c>
      <c r="T7" s="562">
        <f>FCF!V9</f>
        <v>-1189.3473631285854</v>
      </c>
      <c r="U7" s="562">
        <f>FCF!W9</f>
        <v>-1192.3041339041913</v>
      </c>
      <c r="V7" s="562">
        <f>FCF!X9</f>
        <v>-1195.2709577004339</v>
      </c>
      <c r="W7" s="562">
        <f>FCF!Y9</f>
        <v>-1198.2478686975844</v>
      </c>
      <c r="X7" s="562">
        <f>FCF!Z9</f>
        <v>-1201.2349011921247</v>
      </c>
      <c r="Y7" s="562">
        <f>FCF!AA9</f>
        <v>-1204.2320895971466</v>
      </c>
      <c r="Z7" s="562">
        <f>FCF!AB9</f>
        <v>-1207.2394684427456</v>
      </c>
      <c r="AA7" s="562">
        <f>FCF!AC9</f>
        <v>-1210.2570723764195</v>
      </c>
      <c r="AB7" s="562">
        <f>FCF!AD9</f>
        <v>-1213.2849361634683</v>
      </c>
      <c r="AC7" s="562">
        <f>FCF!AE9</f>
        <v>-1216.3230946873925</v>
      </c>
      <c r="AD7" s="562">
        <f>FCF!AF9</f>
        <v>-1219.3715829502985</v>
      </c>
      <c r="AE7" s="562">
        <f>FCF!AG9</f>
        <v>-1222.4304360732976</v>
      </c>
      <c r="AF7" s="562">
        <f>FCF!AH9</f>
        <v>-1225.4996892969161</v>
      </c>
    </row>
    <row r="8" spans="2:35">
      <c r="B8" s="560" t="str">
        <f>FCF!A10</f>
        <v>Custos operacionais</v>
      </c>
      <c r="C8" s="562">
        <f>FCF!E10</f>
        <v>-2639.0088126031806</v>
      </c>
      <c r="D8" s="562">
        <f>FCF!F10</f>
        <v>-5249.6157955484641</v>
      </c>
      <c r="E8" s="562">
        <f>FCF!G10</f>
        <v>-6882.9023231461379</v>
      </c>
      <c r="F8" s="562">
        <f>FCF!H10</f>
        <v>-6882.9838618532012</v>
      </c>
      <c r="G8" s="562">
        <f>FCF!I10</f>
        <v>-6883.0656777918684</v>
      </c>
      <c r="H8" s="562">
        <f>FCF!J10</f>
        <v>-6883.1477719047271</v>
      </c>
      <c r="I8" s="562">
        <f>FCF!K10</f>
        <v>-6883.2301451375697</v>
      </c>
      <c r="J8" s="562">
        <f>FCF!L10</f>
        <v>-6883.3127984394041</v>
      </c>
      <c r="K8" s="562">
        <f>FCF!M10</f>
        <v>-6883.3957327624639</v>
      </c>
      <c r="L8" s="562">
        <f>FCF!N10</f>
        <v>-6883.4789490622225</v>
      </c>
      <c r="M8" s="562">
        <f>FCF!O10</f>
        <v>-6883.5624482974008</v>
      </c>
      <c r="N8" s="562">
        <f>FCF!P10</f>
        <v>-6883.6462314299779</v>
      </c>
      <c r="O8" s="562">
        <f>FCF!Q10</f>
        <v>-6883.7302994252068</v>
      </c>
      <c r="P8" s="562">
        <f>FCF!R10</f>
        <v>-6883.8146532516184</v>
      </c>
      <c r="Q8" s="562">
        <f>FCF!S10</f>
        <v>-6883.8992938810406</v>
      </c>
      <c r="R8" s="562">
        <f>FCF!T10</f>
        <v>-6883.9842222886027</v>
      </c>
      <c r="S8" s="562">
        <f>FCF!U10</f>
        <v>-6884.06943945275</v>
      </c>
      <c r="T8" s="562">
        <f>FCF!V10</f>
        <v>-6884.1549463552556</v>
      </c>
      <c r="U8" s="562">
        <f>FCF!W10</f>
        <v>-6884.2407439812296</v>
      </c>
      <c r="V8" s="562">
        <f>FCF!X10</f>
        <v>-6884.3268333191327</v>
      </c>
      <c r="W8" s="562">
        <f>FCF!Y10</f>
        <v>-6884.4132153607843</v>
      </c>
      <c r="X8" s="562">
        <f>FCF!Z10</f>
        <v>-6884.4998911013772</v>
      </c>
      <c r="Y8" s="562">
        <f>FCF!AA10</f>
        <v>-6884.5868615394884</v>
      </c>
      <c r="Z8" s="562">
        <f>FCF!AB10</f>
        <v>-6884.6741276770881</v>
      </c>
      <c r="AA8" s="562">
        <f>FCF!AC10</f>
        <v>-6884.7616905195573</v>
      </c>
      <c r="AB8" s="562">
        <f>FCF!AD10</f>
        <v>-6884.8495510756902</v>
      </c>
      <c r="AC8" s="562">
        <f>FCF!AE10</f>
        <v>-6884.9377103577135</v>
      </c>
      <c r="AD8" s="562">
        <f>FCF!AF10</f>
        <v>-6885.0261693812963</v>
      </c>
      <c r="AE8" s="562">
        <f>FCF!AG10</f>
        <v>-6885.1149291655593</v>
      </c>
      <c r="AF8" s="562">
        <f>FCF!AH10</f>
        <v>-6885.2039907330882</v>
      </c>
    </row>
    <row r="9" spans="2:35">
      <c r="B9" s="560" t="str">
        <f>FCF!A11</f>
        <v>Impostos sobre o lucro</v>
      </c>
      <c r="C9" s="562">
        <f>FCF!E11</f>
        <v>-588.64697841360169</v>
      </c>
      <c r="D9" s="562">
        <f>FCF!F11</f>
        <v>-1054.6093601930402</v>
      </c>
      <c r="E9" s="562">
        <f>FCF!G11</f>
        <v>-1417.6682640831411</v>
      </c>
      <c r="F9" s="562">
        <f>FCF!H11</f>
        <v>-1421.2026909072363</v>
      </c>
      <c r="G9" s="562">
        <f>FCF!I11</f>
        <v>-1424.7491347825335</v>
      </c>
      <c r="H9" s="562">
        <f>FCF!J11</f>
        <v>-1428.307636567007</v>
      </c>
      <c r="I9" s="562">
        <f>FCF!K11</f>
        <v>-1431.8782372575474</v>
      </c>
      <c r="J9" s="562">
        <f>FCF!L11</f>
        <v>-1435.4609779904358</v>
      </c>
      <c r="K9" s="562">
        <f>FCF!M11</f>
        <v>-1439.0559000418157</v>
      </c>
      <c r="L9" s="562">
        <f>FCF!N11</f>
        <v>-1442.6630448281703</v>
      </c>
      <c r="M9" s="562">
        <f>FCF!O11</f>
        <v>-1446.282453906799</v>
      </c>
      <c r="N9" s="562">
        <f>FCF!P11</f>
        <v>-1449.9141689762946</v>
      </c>
      <c r="O9" s="562">
        <f>FCF!Q11</f>
        <v>-1453.5582318770266</v>
      </c>
      <c r="P9" s="562">
        <f>FCF!R11</f>
        <v>-1457.2146845916213</v>
      </c>
      <c r="Q9" s="562">
        <f>FCF!S11</f>
        <v>-1460.8835692454452</v>
      </c>
      <c r="R9" s="562">
        <f>FCF!T11</f>
        <v>-1464.5649281070923</v>
      </c>
      <c r="S9" s="562">
        <f>FCF!U11</f>
        <v>-1468.2588035888693</v>
      </c>
      <c r="T9" s="562">
        <f>FCF!V11</f>
        <v>-1471.9652382472841</v>
      </c>
      <c r="U9" s="562">
        <f>FCF!W11</f>
        <v>-1475.6842747835376</v>
      </c>
      <c r="V9" s="562">
        <f>FCF!X11</f>
        <v>-1479.4159560440141</v>
      </c>
      <c r="W9" s="562">
        <f>FCF!Y11</f>
        <v>-1483.1603250207766</v>
      </c>
      <c r="X9" s="562">
        <f>FCF!Z11</f>
        <v>-1486.9174248520599</v>
      </c>
      <c r="Y9" s="562">
        <f>FCF!AA11</f>
        <v>-1490.6872988227692</v>
      </c>
      <c r="Z9" s="562">
        <f>FCF!AB11</f>
        <v>-1494.4699903649794</v>
      </c>
      <c r="AA9" s="562">
        <f>FCF!AC11</f>
        <v>-1498.2655430584327</v>
      </c>
      <c r="AB9" s="562">
        <f>FCF!AD11</f>
        <v>-1502.0740006310443</v>
      </c>
      <c r="AC9" s="562">
        <f>FCF!AE11</f>
        <v>-1505.8954069594024</v>
      </c>
      <c r="AD9" s="562">
        <f>FCF!AF11</f>
        <v>-1509.7298060692769</v>
      </c>
      <c r="AE9" s="562">
        <f>FCF!AG11</f>
        <v>-1513.5772421361248</v>
      </c>
      <c r="AF9" s="562">
        <f>FCF!AH11</f>
        <v>-1517.4377594856007</v>
      </c>
    </row>
    <row r="10" spans="2:35">
      <c r="B10" s="556" t="str">
        <f>FCF!A13</f>
        <v>Fluxo operacional</v>
      </c>
      <c r="C10" s="557">
        <f>FCF!E13</f>
        <v>4694.0733838589604</v>
      </c>
      <c r="D10" s="557">
        <f>FCF!F13</f>
        <v>5529.7892742400927</v>
      </c>
      <c r="E10" s="557">
        <f>FCF!G13</f>
        <v>3803.8775675496672</v>
      </c>
      <c r="F10" s="557">
        <f>FCF!H13</f>
        <v>3829.9371434138302</v>
      </c>
      <c r="G10" s="557">
        <f>FCF!I13</f>
        <v>3856.0853218359316</v>
      </c>
      <c r="H10" s="557">
        <f>FCF!J13</f>
        <v>3882.3224040646692</v>
      </c>
      <c r="I10" s="557">
        <f>FCF!K13</f>
        <v>3908.6486923729863</v>
      </c>
      <c r="J10" s="557">
        <f>FCF!L13</f>
        <v>3935.064490061548</v>
      </c>
      <c r="K10" s="557">
        <f>FCF!M13</f>
        <v>3961.5701014622518</v>
      </c>
      <c r="L10" s="557">
        <f>FCF!N13</f>
        <v>3988.1658319417165</v>
      </c>
      <c r="M10" s="557">
        <f>FCF!O13</f>
        <v>4014.8519879048145</v>
      </c>
      <c r="N10" s="557">
        <f>FCF!P13</f>
        <v>4041.628876798186</v>
      </c>
      <c r="O10" s="557">
        <f>FCF!Q13</f>
        <v>4068.4968071137955</v>
      </c>
      <c r="P10" s="557">
        <f>FCF!R13</f>
        <v>4095.4560883924787</v>
      </c>
      <c r="Q10" s="557">
        <f>FCF!S13</f>
        <v>4122.5070312275056</v>
      </c>
      <c r="R10" s="557">
        <f>FCF!T13</f>
        <v>4149.6499472681735</v>
      </c>
      <c r="S10" s="557">
        <f>FCF!U13</f>
        <v>4176.8851492233807</v>
      </c>
      <c r="T10" s="557">
        <f>FCF!V13</f>
        <v>4204.2129508652379</v>
      </c>
      <c r="U10" s="557">
        <f>FCF!W13</f>
        <v>4231.6336670326746</v>
      </c>
      <c r="V10" s="557">
        <f>FCF!X13</f>
        <v>4259.1476136350757</v>
      </c>
      <c r="W10" s="557">
        <f>FCF!Y13</f>
        <v>4286.7551076559321</v>
      </c>
      <c r="X10" s="557">
        <f>FCF!Z13</f>
        <v>4314.4564671564585</v>
      </c>
      <c r="Y10" s="557">
        <f>FCF!AA13</f>
        <v>4342.2520112792845</v>
      </c>
      <c r="Z10" s="557">
        <f>FCF!AB13</f>
        <v>4370.1420602521302</v>
      </c>
      <c r="AA10" s="557">
        <f>FCF!AC13</f>
        <v>4398.1269353914795</v>
      </c>
      <c r="AB10" s="557">
        <f>FCF!AD13</f>
        <v>4426.2069591063082</v>
      </c>
      <c r="AC10" s="557">
        <f>FCF!AE13</f>
        <v>4454.3824549017627</v>
      </c>
      <c r="AD10" s="557">
        <f>FCF!AF13</f>
        <v>4482.653747382923</v>
      </c>
      <c r="AE10" s="557">
        <f>FCF!AG13</f>
        <v>4511.0211622585175</v>
      </c>
      <c r="AF10" s="557">
        <f>FCF!AH13</f>
        <v>4539.4850263446933</v>
      </c>
    </row>
    <row r="11" spans="2:35">
      <c r="B11" s="556" t="str">
        <f>FCF!A15</f>
        <v>Fluxo de caixa de investimentos</v>
      </c>
      <c r="C11" s="557">
        <f>FCF!E15</f>
        <v>-31484.088791728489</v>
      </c>
      <c r="D11" s="557">
        <f>FCF!F15</f>
        <v>-8022.6355183333335</v>
      </c>
      <c r="E11" s="557">
        <f>FCF!G15</f>
        <v>-38.468000000000004</v>
      </c>
      <c r="F11" s="557">
        <f>FCF!H15</f>
        <v>-38.468000000000004</v>
      </c>
      <c r="G11" s="557">
        <f>FCF!I15</f>
        <v>-314.46800000000002</v>
      </c>
      <c r="H11" s="557">
        <f>FCF!J15</f>
        <v>-38.468000000000004</v>
      </c>
      <c r="I11" s="557">
        <f>FCF!K15</f>
        <v>-38.468000000000004</v>
      </c>
      <c r="J11" s="557">
        <f>FCF!L15</f>
        <v>-38.468000000000004</v>
      </c>
      <c r="K11" s="557">
        <f>FCF!M15</f>
        <v>-38.468000000000004</v>
      </c>
      <c r="L11" s="557">
        <f>FCF!N15</f>
        <v>-2460.3140640000001</v>
      </c>
      <c r="M11" s="557">
        <f>FCF!O15</f>
        <v>-38.468000000000004</v>
      </c>
      <c r="N11" s="557">
        <f>FCF!P15</f>
        <v>-38.468000000000004</v>
      </c>
      <c r="O11" s="557">
        <f>FCF!Q15</f>
        <v>-38.468000000000004</v>
      </c>
      <c r="P11" s="557">
        <f>FCF!R15</f>
        <v>-38.468000000000004</v>
      </c>
      <c r="Q11" s="557">
        <f>FCF!S15</f>
        <v>-314.46800000000002</v>
      </c>
      <c r="R11" s="557">
        <f>FCF!T15</f>
        <v>-38.468000000000004</v>
      </c>
      <c r="S11" s="557">
        <f>FCF!U15</f>
        <v>-38.468000000000004</v>
      </c>
      <c r="T11" s="557">
        <f>FCF!V15</f>
        <v>-38.468000000000004</v>
      </c>
      <c r="U11" s="557">
        <f>FCF!W15</f>
        <v>-38.468000000000004</v>
      </c>
      <c r="V11" s="557">
        <f>FCF!X15</f>
        <v>-2460.3140640000001</v>
      </c>
      <c r="W11" s="557">
        <f>FCF!Y15</f>
        <v>-38.468000000000004</v>
      </c>
      <c r="X11" s="557">
        <f>FCF!Z15</f>
        <v>-38.468000000000004</v>
      </c>
      <c r="Y11" s="557">
        <f>FCF!AA15</f>
        <v>-38.468000000000004</v>
      </c>
      <c r="Z11" s="557">
        <f>FCF!AB15</f>
        <v>-38.468000000000004</v>
      </c>
      <c r="AA11" s="557">
        <f>FCF!AC15</f>
        <v>-314.46800000000002</v>
      </c>
      <c r="AB11" s="557">
        <f>FCF!AD15</f>
        <v>-38.468000000000004</v>
      </c>
      <c r="AC11" s="557">
        <f>FCF!AE15</f>
        <v>-38.468000000000004</v>
      </c>
      <c r="AD11" s="557">
        <f>FCF!AF15</f>
        <v>-38.468000000000004</v>
      </c>
      <c r="AE11" s="557">
        <f>FCF!AG15</f>
        <v>-38.468000000000004</v>
      </c>
      <c r="AF11" s="557">
        <f>FCF!AH15</f>
        <v>-2460.3140640000001</v>
      </c>
    </row>
    <row r="12" spans="2:35">
      <c r="B12" s="556" t="str">
        <f>FCF!A17</f>
        <v>Fluxo de caixa de projeto</v>
      </c>
      <c r="C12" s="557">
        <f>FCF!E17</f>
        <v>-26790.015407869527</v>
      </c>
      <c r="D12" s="557">
        <f>FCF!F17</f>
        <v>-2492.8462440932408</v>
      </c>
      <c r="E12" s="557">
        <f>FCF!G17</f>
        <v>3765.4095675496674</v>
      </c>
      <c r="F12" s="557">
        <f>FCF!H17</f>
        <v>3791.4691434138304</v>
      </c>
      <c r="G12" s="557">
        <f>FCF!I17</f>
        <v>3541.6173218359318</v>
      </c>
      <c r="H12" s="557">
        <f>FCF!J17</f>
        <v>3843.8544040646693</v>
      </c>
      <c r="I12" s="557">
        <f>FCF!K17</f>
        <v>3870.1806923729864</v>
      </c>
      <c r="J12" s="557">
        <f>FCF!L17</f>
        <v>3896.5964900615481</v>
      </c>
      <c r="K12" s="557">
        <f>FCF!M17</f>
        <v>3923.102101462252</v>
      </c>
      <c r="L12" s="557">
        <f>FCF!N17</f>
        <v>1527.8517679417164</v>
      </c>
      <c r="M12" s="557">
        <f>FCF!O17</f>
        <v>3976.3839879048146</v>
      </c>
      <c r="N12" s="557">
        <f>FCF!P17</f>
        <v>4003.1608767981861</v>
      </c>
      <c r="O12" s="557">
        <f>FCF!Q17</f>
        <v>4030.0288071137957</v>
      </c>
      <c r="P12" s="557">
        <f>FCF!R17</f>
        <v>4056.9880883924789</v>
      </c>
      <c r="Q12" s="557">
        <f>FCF!S17</f>
        <v>3808.0390312275058</v>
      </c>
      <c r="R12" s="557">
        <f>FCF!T17</f>
        <v>4111.1819472681736</v>
      </c>
      <c r="S12" s="557">
        <f>FCF!U17</f>
        <v>4138.4171492233809</v>
      </c>
      <c r="T12" s="557">
        <f>FCF!V17</f>
        <v>4165.744950865238</v>
      </c>
      <c r="U12" s="557">
        <f>FCF!W17</f>
        <v>4193.1656670326747</v>
      </c>
      <c r="V12" s="557">
        <f>FCF!X17</f>
        <v>1798.8335496350755</v>
      </c>
      <c r="W12" s="557">
        <f>FCF!Y17</f>
        <v>4248.2871076559322</v>
      </c>
      <c r="X12" s="557">
        <f>FCF!Z17</f>
        <v>4275.9884671564587</v>
      </c>
      <c r="Y12" s="557">
        <f>FCF!AA17</f>
        <v>4303.7840112792846</v>
      </c>
      <c r="Z12" s="557">
        <f>FCF!AB17</f>
        <v>4331.6740602521304</v>
      </c>
      <c r="AA12" s="557">
        <f>FCF!AC17</f>
        <v>4083.6589353914796</v>
      </c>
      <c r="AB12" s="557">
        <f>FCF!AD17</f>
        <v>4387.7389591063084</v>
      </c>
      <c r="AC12" s="557">
        <f>FCF!AE17</f>
        <v>4415.9144549017628</v>
      </c>
      <c r="AD12" s="557">
        <f>FCF!AF17</f>
        <v>4444.1857473829232</v>
      </c>
      <c r="AE12" s="557">
        <f>FCF!AG17</f>
        <v>4472.5531622585177</v>
      </c>
      <c r="AF12" s="557">
        <f>FCF!AH17</f>
        <v>2079.1709623446932</v>
      </c>
    </row>
    <row r="13" spans="2:35">
      <c r="B13" s="556" t="str">
        <f>FCF!A22</f>
        <v>Fluxo de caixa financeiro</v>
      </c>
      <c r="C13" s="557">
        <f>FCF!E22</f>
        <v>0</v>
      </c>
      <c r="D13" s="557">
        <f>FCF!F22</f>
        <v>0</v>
      </c>
      <c r="E13" s="557">
        <f>FCF!G22</f>
        <v>0</v>
      </c>
      <c r="F13" s="557">
        <f>FCF!H22</f>
        <v>0</v>
      </c>
      <c r="G13" s="557">
        <f>FCF!I22</f>
        <v>0</v>
      </c>
      <c r="H13" s="557">
        <f>FCF!J22</f>
        <v>0</v>
      </c>
      <c r="I13" s="557">
        <f>FCF!K22</f>
        <v>0</v>
      </c>
      <c r="J13" s="557">
        <f>FCF!L22</f>
        <v>0</v>
      </c>
      <c r="K13" s="557">
        <f>FCF!M22</f>
        <v>0</v>
      </c>
      <c r="L13" s="557">
        <f>FCF!N22</f>
        <v>0</v>
      </c>
      <c r="M13" s="557">
        <f>FCF!O22</f>
        <v>0</v>
      </c>
      <c r="N13" s="557">
        <f>FCF!P22</f>
        <v>0</v>
      </c>
      <c r="O13" s="557">
        <f>FCF!Q22</f>
        <v>0</v>
      </c>
      <c r="P13" s="557">
        <f>FCF!R22</f>
        <v>0</v>
      </c>
      <c r="Q13" s="557">
        <f>FCF!S22</f>
        <v>0</v>
      </c>
      <c r="R13" s="557">
        <f>FCF!T22</f>
        <v>0</v>
      </c>
      <c r="S13" s="557">
        <f>FCF!U22</f>
        <v>0</v>
      </c>
      <c r="T13" s="557">
        <f>FCF!V22</f>
        <v>0</v>
      </c>
      <c r="U13" s="557">
        <f>FCF!W22</f>
        <v>0</v>
      </c>
      <c r="V13" s="557">
        <f>FCF!X22</f>
        <v>0</v>
      </c>
      <c r="W13" s="557">
        <f>FCF!Y22</f>
        <v>0</v>
      </c>
      <c r="X13" s="557">
        <f>FCF!Z22</f>
        <v>0</v>
      </c>
      <c r="Y13" s="557">
        <f>FCF!AA22</f>
        <v>0</v>
      </c>
      <c r="Z13" s="557">
        <f>FCF!AB22</f>
        <v>0</v>
      </c>
      <c r="AA13" s="557">
        <f>FCF!AC22</f>
        <v>0</v>
      </c>
      <c r="AB13" s="557">
        <f>FCF!AD22</f>
        <v>0</v>
      </c>
      <c r="AC13" s="557">
        <f>FCF!AE22</f>
        <v>0</v>
      </c>
      <c r="AD13" s="557">
        <f>FCF!AF22</f>
        <v>0</v>
      </c>
      <c r="AE13" s="557">
        <f>FCF!AG22</f>
        <v>0</v>
      </c>
      <c r="AF13" s="557">
        <f>FCF!AH22</f>
        <v>0</v>
      </c>
    </row>
    <row r="14" spans="2:35">
      <c r="B14" s="556" t="str">
        <f>FCF!A28</f>
        <v>Fluxo de caixa alavancado</v>
      </c>
      <c r="C14" s="557">
        <f>FCF!E28</f>
        <v>-26790.015407869527</v>
      </c>
      <c r="D14" s="557">
        <f>FCF!F28</f>
        <v>-2492.8462440932408</v>
      </c>
      <c r="E14" s="557">
        <f>FCF!G28</f>
        <v>3765.4095675496674</v>
      </c>
      <c r="F14" s="557">
        <f>FCF!H28</f>
        <v>3791.4691434138304</v>
      </c>
      <c r="G14" s="557">
        <f>FCF!I28</f>
        <v>3541.6173218359318</v>
      </c>
      <c r="H14" s="557">
        <f>FCF!J28</f>
        <v>3843.8544040646693</v>
      </c>
      <c r="I14" s="557">
        <f>FCF!K28</f>
        <v>3870.1806923729864</v>
      </c>
      <c r="J14" s="557">
        <f>FCF!L28</f>
        <v>3896.5964900615481</v>
      </c>
      <c r="K14" s="557">
        <f>FCF!M28</f>
        <v>3923.102101462252</v>
      </c>
      <c r="L14" s="557">
        <f>FCF!N28</f>
        <v>1527.8517679417164</v>
      </c>
      <c r="M14" s="557">
        <f>FCF!O28</f>
        <v>3976.3839879048146</v>
      </c>
      <c r="N14" s="557">
        <f>FCF!P28</f>
        <v>4003.1608767981861</v>
      </c>
      <c r="O14" s="557">
        <f>FCF!Q28</f>
        <v>4030.0288071137957</v>
      </c>
      <c r="P14" s="557">
        <f>FCF!R28</f>
        <v>4056.9880883924789</v>
      </c>
      <c r="Q14" s="557">
        <f>FCF!S28</f>
        <v>3808.0390312275058</v>
      </c>
      <c r="R14" s="557">
        <f>FCF!T28</f>
        <v>4111.1819472681736</v>
      </c>
      <c r="S14" s="557">
        <f>FCF!U28</f>
        <v>4138.4171492233809</v>
      </c>
      <c r="T14" s="557">
        <f>FCF!V28</f>
        <v>4165.744950865238</v>
      </c>
      <c r="U14" s="557">
        <f>FCF!W28</f>
        <v>4193.1656670326747</v>
      </c>
      <c r="V14" s="557">
        <f>FCF!X28</f>
        <v>1798.8335496350755</v>
      </c>
      <c r="W14" s="557">
        <f>FCF!Y28</f>
        <v>4248.2871076559322</v>
      </c>
      <c r="X14" s="557">
        <f>FCF!Z28</f>
        <v>4275.9884671564587</v>
      </c>
      <c r="Y14" s="557">
        <f>FCF!AA28</f>
        <v>4303.7840112792846</v>
      </c>
      <c r="Z14" s="557">
        <f>FCF!AB28</f>
        <v>4331.6740602521304</v>
      </c>
      <c r="AA14" s="557">
        <f>FCF!AC28</f>
        <v>4083.6589353914796</v>
      </c>
      <c r="AB14" s="557">
        <f>FCF!AD28</f>
        <v>4387.7389591063084</v>
      </c>
      <c r="AC14" s="557">
        <f>FCF!AE28</f>
        <v>4415.9144549017628</v>
      </c>
      <c r="AD14" s="557">
        <f>FCF!AF28</f>
        <v>4444.1857473829232</v>
      </c>
      <c r="AE14" s="557">
        <f>FCF!AG28</f>
        <v>4472.5531622585177</v>
      </c>
      <c r="AF14" s="557">
        <f>FCF!AH28</f>
        <v>2079.1709623446932</v>
      </c>
    </row>
    <row r="15" spans="2:35">
      <c r="B15" s="560" t="str">
        <f>FCF!A29</f>
        <v>Fluxo de caixa acumulado</v>
      </c>
      <c r="C15" s="562">
        <f>FCF!E29</f>
        <v>-26790.015407869527</v>
      </c>
      <c r="D15" s="562">
        <f>FCF!F29</f>
        <v>-29282.861651962769</v>
      </c>
      <c r="E15" s="562">
        <f>FCF!G29</f>
        <v>-25517.4520844131</v>
      </c>
      <c r="F15" s="562">
        <f>FCF!H29</f>
        <v>-21725.982940999271</v>
      </c>
      <c r="G15" s="562">
        <f>FCF!I29</f>
        <v>-18184.365619163338</v>
      </c>
      <c r="H15" s="562">
        <f>FCF!J29</f>
        <v>-14340.511215098668</v>
      </c>
      <c r="I15" s="562">
        <f>FCF!K29</f>
        <v>-10470.330522725682</v>
      </c>
      <c r="J15" s="562">
        <f>FCF!L29</f>
        <v>-6573.7340326641342</v>
      </c>
      <c r="K15" s="562">
        <f>FCF!M29</f>
        <v>-2650.6319312018823</v>
      </c>
      <c r="L15" s="562">
        <f>FCF!N29</f>
        <v>-1122.7801632601659</v>
      </c>
      <c r="M15" s="562">
        <f>FCF!O29</f>
        <v>2853.6038246446487</v>
      </c>
      <c r="N15" s="562">
        <f>FCF!P29</f>
        <v>6856.7647014428348</v>
      </c>
      <c r="O15" s="562">
        <f>FCF!Q29</f>
        <v>10886.793508556631</v>
      </c>
      <c r="P15" s="562">
        <f>FCF!R29</f>
        <v>14943.781596949109</v>
      </c>
      <c r="Q15" s="562">
        <f>FCF!S29</f>
        <v>18751.820628176614</v>
      </c>
      <c r="R15" s="562">
        <f>FCF!T29</f>
        <v>22863.002575444789</v>
      </c>
      <c r="S15" s="562">
        <f>FCF!U29</f>
        <v>27001.419724668169</v>
      </c>
      <c r="T15" s="562">
        <f>FCF!V29</f>
        <v>31167.164675533408</v>
      </c>
      <c r="U15" s="562">
        <f>FCF!W29</f>
        <v>35360.330342566085</v>
      </c>
      <c r="V15" s="562">
        <f>FCF!X29</f>
        <v>37159.163892201163</v>
      </c>
      <c r="W15" s="562">
        <f>FCF!Y29</f>
        <v>41407.450999857094</v>
      </c>
      <c r="X15" s="562">
        <f>FCF!Z29</f>
        <v>45683.439467013552</v>
      </c>
      <c r="Y15" s="562">
        <f>FCF!AA29</f>
        <v>49987.223478292835</v>
      </c>
      <c r="Z15" s="562">
        <f>FCF!AB29</f>
        <v>54318.897538544967</v>
      </c>
      <c r="AA15" s="562">
        <f>FCF!AC29</f>
        <v>58402.556473936449</v>
      </c>
      <c r="AB15" s="562">
        <f>FCF!AD29</f>
        <v>62790.29543304276</v>
      </c>
      <c r="AC15" s="562">
        <f>FCF!AE29</f>
        <v>67206.209887944526</v>
      </c>
      <c r="AD15" s="562">
        <f>FCF!AF29</f>
        <v>71650.395635327455</v>
      </c>
      <c r="AE15" s="562">
        <f>FCF!AG29</f>
        <v>76122.948797585967</v>
      </c>
      <c r="AF15" s="562">
        <f>FCF!AH29</f>
        <v>78202.119759930662</v>
      </c>
    </row>
    <row r="16" spans="2:35">
      <c r="B16" s="560" t="str">
        <f>FCF!A30</f>
        <v>Fluxo de caixa acumulado - descontado</v>
      </c>
      <c r="C16" s="562">
        <f>FCF!E30</f>
        <v>-24133.076493203473</v>
      </c>
      <c r="D16" s="562">
        <f>FCF!F30</f>
        <v>-26155.978963201036</v>
      </c>
      <c r="E16" s="562">
        <f>FCF!G30</f>
        <v>-23403.453153194696</v>
      </c>
      <c r="F16" s="562">
        <f>FCF!H30</f>
        <v>-20906.752757280145</v>
      </c>
      <c r="G16" s="562">
        <f>FCF!I30</f>
        <v>-18805.877513755342</v>
      </c>
      <c r="H16" s="562">
        <f>FCF!J30</f>
        <v>-16751.854592420241</v>
      </c>
      <c r="I16" s="562">
        <f>FCF!K30</f>
        <v>-14888.869736930692</v>
      </c>
      <c r="J16" s="562">
        <f>FCF!L30</f>
        <v>-13199.194483581185</v>
      </c>
      <c r="K16" s="562">
        <f>FCF!M30</f>
        <v>-11666.741547019097</v>
      </c>
      <c r="L16" s="562">
        <f>FCF!N30</f>
        <v>-11129.117752537557</v>
      </c>
      <c r="M16" s="562">
        <f>FCF!O30</f>
        <v>-9868.668679949973</v>
      </c>
      <c r="N16" s="562">
        <f>FCF!P30</f>
        <v>-8725.5804408397344</v>
      </c>
      <c r="O16" s="562">
        <f>FCF!Q30</f>
        <v>-7688.9484924398585</v>
      </c>
      <c r="P16" s="562">
        <f>FCF!R30</f>
        <v>-6748.8791330374306</v>
      </c>
      <c r="Q16" s="562">
        <f>FCF!S30</f>
        <v>-5954.0069806735501</v>
      </c>
      <c r="R16" s="562">
        <f>FCF!T30</f>
        <v>-5180.9663609072977</v>
      </c>
      <c r="S16" s="562">
        <f>FCF!U30</f>
        <v>-4479.9799350385611</v>
      </c>
      <c r="T16" s="562">
        <f>FCF!V30</f>
        <v>-3844.345018402747</v>
      </c>
      <c r="U16" s="562">
        <f>FCF!W30</f>
        <v>-3267.9810585353566</v>
      </c>
      <c r="V16" s="562">
        <f>FCF!X30</f>
        <v>-3045.2475797211719</v>
      </c>
      <c r="W16" s="562">
        <f>FCF!Y30</f>
        <v>-2571.3896998754021</v>
      </c>
      <c r="X16" s="562">
        <f>FCF!Z30</f>
        <v>-2141.7439711328007</v>
      </c>
      <c r="Y16" s="562">
        <f>FCF!AA30</f>
        <v>-1752.1931112346747</v>
      </c>
      <c r="Z16" s="562">
        <f>FCF!AB30</f>
        <v>-1399.0024628464751</v>
      </c>
      <c r="AA16" s="562">
        <f>FCF!AC30</f>
        <v>-1099.0567805889004</v>
      </c>
      <c r="AB16" s="562">
        <f>FCF!AD30</f>
        <v>-808.73898348656621</v>
      </c>
      <c r="AC16" s="562">
        <f>FCF!AE30</f>
        <v>-545.53451661139047</v>
      </c>
      <c r="AD16" s="562">
        <f>FCF!AF30</f>
        <v>-306.91578540268978</v>
      </c>
      <c r="AE16" s="562">
        <f>FCF!AG30</f>
        <v>-90.590359517807769</v>
      </c>
      <c r="AF16" s="562">
        <f>FCF!AH30</f>
        <v>6.8573058342735749E-10</v>
      </c>
    </row>
    <row r="18" spans="2:32">
      <c r="C18" s="563">
        <f>C2</f>
        <v>1</v>
      </c>
      <c r="D18" s="563">
        <f t="shared" ref="D18:AF18" si="0">D2</f>
        <v>2</v>
      </c>
      <c r="E18" s="563">
        <f t="shared" si="0"/>
        <v>3</v>
      </c>
      <c r="F18" s="563">
        <f t="shared" si="0"/>
        <v>4</v>
      </c>
      <c r="G18" s="563">
        <f t="shared" si="0"/>
        <v>5</v>
      </c>
      <c r="H18" s="563">
        <f t="shared" si="0"/>
        <v>6</v>
      </c>
      <c r="I18" s="563">
        <f t="shared" si="0"/>
        <v>7</v>
      </c>
      <c r="J18" s="563">
        <f t="shared" si="0"/>
        <v>8</v>
      </c>
      <c r="K18" s="563">
        <f t="shared" si="0"/>
        <v>9</v>
      </c>
      <c r="L18" s="563">
        <f t="shared" si="0"/>
        <v>10</v>
      </c>
      <c r="M18" s="563">
        <f t="shared" si="0"/>
        <v>11</v>
      </c>
      <c r="N18" s="563">
        <f t="shared" si="0"/>
        <v>12</v>
      </c>
      <c r="O18" s="563">
        <f t="shared" si="0"/>
        <v>13</v>
      </c>
      <c r="P18" s="563">
        <f t="shared" si="0"/>
        <v>14</v>
      </c>
      <c r="Q18" s="563">
        <f t="shared" si="0"/>
        <v>15</v>
      </c>
      <c r="R18" s="563">
        <f t="shared" si="0"/>
        <v>16</v>
      </c>
      <c r="S18" s="563">
        <f t="shared" si="0"/>
        <v>17</v>
      </c>
      <c r="T18" s="563">
        <f t="shared" si="0"/>
        <v>18</v>
      </c>
      <c r="U18" s="563">
        <f t="shared" si="0"/>
        <v>19</v>
      </c>
      <c r="V18" s="563">
        <f t="shared" si="0"/>
        <v>20</v>
      </c>
      <c r="W18" s="563">
        <f t="shared" si="0"/>
        <v>21</v>
      </c>
      <c r="X18" s="563">
        <f t="shared" si="0"/>
        <v>22</v>
      </c>
      <c r="Y18" s="563">
        <f t="shared" si="0"/>
        <v>23</v>
      </c>
      <c r="Z18" s="563">
        <f t="shared" si="0"/>
        <v>24</v>
      </c>
      <c r="AA18" s="563">
        <f t="shared" si="0"/>
        <v>25</v>
      </c>
      <c r="AB18" s="563">
        <f t="shared" si="0"/>
        <v>26</v>
      </c>
      <c r="AC18" s="563">
        <f t="shared" si="0"/>
        <v>27</v>
      </c>
      <c r="AD18" s="563">
        <f t="shared" si="0"/>
        <v>28</v>
      </c>
      <c r="AE18" s="563">
        <f t="shared" si="0"/>
        <v>29</v>
      </c>
      <c r="AF18" s="563">
        <f t="shared" si="0"/>
        <v>30</v>
      </c>
    </row>
    <row r="19" spans="2:32">
      <c r="B19" s="556" t="str">
        <f>B3</f>
        <v>Ingressos operacionais líquidos</v>
      </c>
      <c r="C19" s="557">
        <f>C3*1000</f>
        <v>8408806.0465005282</v>
      </c>
      <c r="D19" s="557">
        <f t="shared" ref="D19:AF28" si="1">D3*1000</f>
        <v>12691548.526090953</v>
      </c>
      <c r="E19" s="557">
        <f t="shared" si="1"/>
        <v>13250627.42723475</v>
      </c>
      <c r="F19" s="557">
        <f t="shared" si="1"/>
        <v>13283112.967897393</v>
      </c>
      <c r="G19" s="557">
        <f t="shared" si="1"/>
        <v>13315708.959398286</v>
      </c>
      <c r="H19" s="557">
        <f t="shared" si="1"/>
        <v>13348415.777270284</v>
      </c>
      <c r="I19" s="557">
        <f t="shared" si="1"/>
        <v>13381233.798323046</v>
      </c>
      <c r="J19" s="557">
        <f t="shared" si="1"/>
        <v>13414163.400647387</v>
      </c>
      <c r="K19" s="557">
        <f t="shared" si="1"/>
        <v>13447204.963619629</v>
      </c>
      <c r="L19" s="557">
        <f t="shared" si="1"/>
        <v>13480358.867905978</v>
      </c>
      <c r="M19" s="557">
        <f t="shared" si="1"/>
        <v>13513625.495466903</v>
      </c>
      <c r="N19" s="557">
        <f t="shared" si="1"/>
        <v>13547005.229561532</v>
      </c>
      <c r="O19" s="557">
        <f t="shared" si="1"/>
        <v>13580498.454752084</v>
      </c>
      <c r="P19" s="557">
        <f t="shared" si="1"/>
        <v>13614105.556908285</v>
      </c>
      <c r="Q19" s="557">
        <f t="shared" si="1"/>
        <v>13647826.923211813</v>
      </c>
      <c r="R19" s="557">
        <f t="shared" si="1"/>
        <v>13681662.942160776</v>
      </c>
      <c r="S19" s="557">
        <f t="shared" si="1"/>
        <v>13715614.003574166</v>
      </c>
      <c r="T19" s="557">
        <f t="shared" si="1"/>
        <v>13749680.498596363</v>
      </c>
      <c r="U19" s="557">
        <f t="shared" si="1"/>
        <v>13783862.819701632</v>
      </c>
      <c r="V19" s="557">
        <f t="shared" si="1"/>
        <v>13818161.360698657</v>
      </c>
      <c r="W19" s="557">
        <f t="shared" si="1"/>
        <v>13852576.516735079</v>
      </c>
      <c r="X19" s="557">
        <f t="shared" si="1"/>
        <v>13887108.684302021</v>
      </c>
      <c r="Y19" s="557">
        <f t="shared" si="1"/>
        <v>13921758.261238689</v>
      </c>
      <c r="Z19" s="557">
        <f t="shared" si="1"/>
        <v>13956525.646736944</v>
      </c>
      <c r="AA19" s="557">
        <f t="shared" si="1"/>
        <v>13991411.24134589</v>
      </c>
      <c r="AB19" s="557">
        <f t="shared" si="1"/>
        <v>14026415.446976511</v>
      </c>
      <c r="AC19" s="557">
        <f t="shared" si="1"/>
        <v>14061538.666906271</v>
      </c>
      <c r="AD19" s="557">
        <f t="shared" si="1"/>
        <v>14096781.305783795</v>
      </c>
      <c r="AE19" s="557">
        <f t="shared" si="1"/>
        <v>14132143.7696335</v>
      </c>
      <c r="AF19" s="557">
        <f t="shared" si="1"/>
        <v>14167626.4658603</v>
      </c>
    </row>
    <row r="20" spans="2:32">
      <c r="B20" s="560" t="str">
        <f t="shared" ref="B20:B32" si="2">B4</f>
        <v>Receita do período</v>
      </c>
      <c r="C20" s="562">
        <f t="shared" ref="C20:R32" si="3">C4*1000</f>
        <v>8408806.0465005282</v>
      </c>
      <c r="D20" s="562">
        <f t="shared" si="3"/>
        <v>12691548.526090953</v>
      </c>
      <c r="E20" s="562">
        <f t="shared" si="3"/>
        <v>13250627.42723475</v>
      </c>
      <c r="F20" s="562">
        <f t="shared" si="3"/>
        <v>13283112.967897393</v>
      </c>
      <c r="G20" s="562">
        <f t="shared" si="3"/>
        <v>13315708.959398286</v>
      </c>
      <c r="H20" s="562">
        <f t="shared" si="3"/>
        <v>13348415.777270284</v>
      </c>
      <c r="I20" s="562">
        <f t="shared" si="3"/>
        <v>13381233.798323046</v>
      </c>
      <c r="J20" s="562">
        <f t="shared" si="3"/>
        <v>13414163.400647387</v>
      </c>
      <c r="K20" s="562">
        <f t="shared" si="3"/>
        <v>13447204.963619629</v>
      </c>
      <c r="L20" s="562">
        <f t="shared" si="3"/>
        <v>13480358.867905978</v>
      </c>
      <c r="M20" s="562">
        <f t="shared" si="3"/>
        <v>13513625.495466903</v>
      </c>
      <c r="N20" s="562">
        <f t="shared" si="3"/>
        <v>13547005.229561532</v>
      </c>
      <c r="O20" s="562">
        <f t="shared" si="3"/>
        <v>13580498.454752084</v>
      </c>
      <c r="P20" s="562">
        <f t="shared" si="3"/>
        <v>13614105.556908285</v>
      </c>
      <c r="Q20" s="562">
        <f t="shared" si="3"/>
        <v>13647826.923211813</v>
      </c>
      <c r="R20" s="562">
        <f t="shared" si="3"/>
        <v>13681662.942160776</v>
      </c>
      <c r="S20" s="562">
        <f t="shared" si="1"/>
        <v>13715614.003574166</v>
      </c>
      <c r="T20" s="562">
        <f t="shared" si="1"/>
        <v>13749680.498596363</v>
      </c>
      <c r="U20" s="562">
        <f t="shared" si="1"/>
        <v>13783862.819701632</v>
      </c>
      <c r="V20" s="562">
        <f t="shared" si="1"/>
        <v>13818161.360698657</v>
      </c>
      <c r="W20" s="562">
        <f t="shared" si="1"/>
        <v>13852576.516735079</v>
      </c>
      <c r="X20" s="562">
        <f t="shared" si="1"/>
        <v>13887108.684302021</v>
      </c>
      <c r="Y20" s="562">
        <f t="shared" si="1"/>
        <v>13921758.261238689</v>
      </c>
      <c r="Z20" s="562">
        <f t="shared" si="1"/>
        <v>13956525.646736944</v>
      </c>
      <c r="AA20" s="562">
        <f t="shared" si="1"/>
        <v>13991411.24134589</v>
      </c>
      <c r="AB20" s="562">
        <f t="shared" si="1"/>
        <v>14026415.446976511</v>
      </c>
      <c r="AC20" s="562">
        <f t="shared" si="1"/>
        <v>14061538.666906271</v>
      </c>
      <c r="AD20" s="562">
        <f t="shared" si="1"/>
        <v>14096781.305783795</v>
      </c>
      <c r="AE20" s="562">
        <f t="shared" si="1"/>
        <v>14132143.7696335</v>
      </c>
      <c r="AF20" s="562">
        <f t="shared" si="1"/>
        <v>14167626.4658603</v>
      </c>
    </row>
    <row r="21" spans="2:32">
      <c r="B21" s="560" t="str">
        <f t="shared" si="2"/>
        <v>Inadimplência</v>
      </c>
      <c r="C21" s="562">
        <f t="shared" si="3"/>
        <v>0</v>
      </c>
      <c r="D21" s="562">
        <f t="shared" si="1"/>
        <v>0</v>
      </c>
      <c r="E21" s="562">
        <f t="shared" si="1"/>
        <v>0</v>
      </c>
      <c r="F21" s="562">
        <f t="shared" si="1"/>
        <v>0</v>
      </c>
      <c r="G21" s="562">
        <f t="shared" si="1"/>
        <v>0</v>
      </c>
      <c r="H21" s="562">
        <f t="shared" si="1"/>
        <v>0</v>
      </c>
      <c r="I21" s="562">
        <f t="shared" si="1"/>
        <v>0</v>
      </c>
      <c r="J21" s="562">
        <f t="shared" si="1"/>
        <v>0</v>
      </c>
      <c r="K21" s="562">
        <f t="shared" si="1"/>
        <v>0</v>
      </c>
      <c r="L21" s="562">
        <f t="shared" si="1"/>
        <v>0</v>
      </c>
      <c r="M21" s="562">
        <f t="shared" si="1"/>
        <v>0</v>
      </c>
      <c r="N21" s="562">
        <f t="shared" si="1"/>
        <v>0</v>
      </c>
      <c r="O21" s="562">
        <f t="shared" si="1"/>
        <v>0</v>
      </c>
      <c r="P21" s="562">
        <f t="shared" si="1"/>
        <v>0</v>
      </c>
      <c r="Q21" s="562">
        <f t="shared" si="1"/>
        <v>0</v>
      </c>
      <c r="R21" s="562">
        <f t="shared" si="1"/>
        <v>0</v>
      </c>
      <c r="S21" s="562">
        <f t="shared" si="1"/>
        <v>0</v>
      </c>
      <c r="T21" s="562">
        <f t="shared" si="1"/>
        <v>0</v>
      </c>
      <c r="U21" s="562">
        <f t="shared" si="1"/>
        <v>0</v>
      </c>
      <c r="V21" s="562">
        <f t="shared" si="1"/>
        <v>0</v>
      </c>
      <c r="W21" s="562">
        <f t="shared" si="1"/>
        <v>0</v>
      </c>
      <c r="X21" s="562">
        <f t="shared" si="1"/>
        <v>0</v>
      </c>
      <c r="Y21" s="562">
        <f t="shared" si="1"/>
        <v>0</v>
      </c>
      <c r="Z21" s="562">
        <f t="shared" si="1"/>
        <v>0</v>
      </c>
      <c r="AA21" s="562">
        <f t="shared" si="1"/>
        <v>0</v>
      </c>
      <c r="AB21" s="562">
        <f t="shared" si="1"/>
        <v>0</v>
      </c>
      <c r="AC21" s="562">
        <f t="shared" si="1"/>
        <v>0</v>
      </c>
      <c r="AD21" s="562">
        <f t="shared" si="1"/>
        <v>0</v>
      </c>
      <c r="AE21" s="562">
        <f t="shared" si="1"/>
        <v>0</v>
      </c>
      <c r="AF21" s="562">
        <f t="shared" si="1"/>
        <v>0</v>
      </c>
    </row>
    <row r="22" spans="2:32">
      <c r="B22" s="556" t="str">
        <f t="shared" si="2"/>
        <v>Saques operacionais</v>
      </c>
      <c r="C22" s="557">
        <f t="shared" si="3"/>
        <v>-3714732.6626415667</v>
      </c>
      <c r="D22" s="557">
        <f t="shared" si="1"/>
        <v>-7161759.2518508611</v>
      </c>
      <c r="E22" s="557">
        <f t="shared" si="1"/>
        <v>-9446749.8596850839</v>
      </c>
      <c r="F22" s="557">
        <f t="shared" si="1"/>
        <v>-9453175.8244835623</v>
      </c>
      <c r="G22" s="557">
        <f t="shared" si="1"/>
        <v>-9459623.6375623532</v>
      </c>
      <c r="H22" s="557">
        <f t="shared" si="1"/>
        <v>-9466093.3732056152</v>
      </c>
      <c r="I22" s="557">
        <f t="shared" si="1"/>
        <v>-9472585.1059500594</v>
      </c>
      <c r="J22" s="557">
        <f t="shared" si="1"/>
        <v>-9479098.9105858393</v>
      </c>
      <c r="K22" s="557">
        <f t="shared" si="1"/>
        <v>-9485634.8621573783</v>
      </c>
      <c r="L22" s="557">
        <f t="shared" si="1"/>
        <v>-9492193.0359642617</v>
      </c>
      <c r="M22" s="557">
        <f t="shared" si="1"/>
        <v>-9498773.5075620878</v>
      </c>
      <c r="N22" s="557">
        <f t="shared" si="1"/>
        <v>-9505376.3527633455</v>
      </c>
      <c r="O22" s="557">
        <f t="shared" si="1"/>
        <v>-9512001.6476382874</v>
      </c>
      <c r="P22" s="557">
        <f t="shared" si="1"/>
        <v>-9518649.4685158059</v>
      </c>
      <c r="Q22" s="557">
        <f t="shared" si="1"/>
        <v>-9525319.8919843063</v>
      </c>
      <c r="R22" s="557">
        <f t="shared" si="1"/>
        <v>-9532012.9948926028</v>
      </c>
      <c r="S22" s="557">
        <f t="shared" si="1"/>
        <v>-9538728.8543507848</v>
      </c>
      <c r="T22" s="557">
        <f t="shared" si="1"/>
        <v>-9545467.5477311239</v>
      </c>
      <c r="U22" s="557">
        <f t="shared" si="1"/>
        <v>-9552229.1526689585</v>
      </c>
      <c r="V22" s="557">
        <f t="shared" si="1"/>
        <v>-9559013.7470635809</v>
      </c>
      <c r="W22" s="557">
        <f t="shared" si="1"/>
        <v>-9565821.4090791456</v>
      </c>
      <c r="X22" s="557">
        <f t="shared" si="1"/>
        <v>-9572652.2171455622</v>
      </c>
      <c r="Y22" s="557">
        <f t="shared" si="1"/>
        <v>-9579506.2499594036</v>
      </c>
      <c r="Z22" s="557">
        <f t="shared" si="1"/>
        <v>-9586383.5864848141</v>
      </c>
      <c r="AA22" s="557">
        <f t="shared" si="1"/>
        <v>-9593284.3059544098</v>
      </c>
      <c r="AB22" s="557">
        <f t="shared" si="1"/>
        <v>-9600208.4878702033</v>
      </c>
      <c r="AC22" s="557">
        <f t="shared" si="1"/>
        <v>-9607156.2120045088</v>
      </c>
      <c r="AD22" s="557">
        <f t="shared" si="1"/>
        <v>-9614127.5584008731</v>
      </c>
      <c r="AE22" s="557">
        <f t="shared" si="1"/>
        <v>-9621122.6073749829</v>
      </c>
      <c r="AF22" s="557">
        <f t="shared" si="1"/>
        <v>-9628141.4395156056</v>
      </c>
    </row>
    <row r="23" spans="2:32">
      <c r="B23" s="560" t="str">
        <f t="shared" si="2"/>
        <v>Impostos indiretos</v>
      </c>
      <c r="C23" s="562">
        <f t="shared" si="3"/>
        <v>-487076.87162478449</v>
      </c>
      <c r="D23" s="562">
        <f t="shared" si="1"/>
        <v>-857534.09610935638</v>
      </c>
      <c r="E23" s="562">
        <f t="shared" si="1"/>
        <v>-1146179.2724558059</v>
      </c>
      <c r="F23" s="562">
        <f t="shared" si="1"/>
        <v>-1148989.2717231247</v>
      </c>
      <c r="G23" s="562">
        <f t="shared" si="1"/>
        <v>-1151808.8249879517</v>
      </c>
      <c r="H23" s="562">
        <f t="shared" si="1"/>
        <v>-1154637.9647338795</v>
      </c>
      <c r="I23" s="562">
        <f t="shared" si="1"/>
        <v>-1157476.7235549435</v>
      </c>
      <c r="J23" s="562">
        <f t="shared" si="1"/>
        <v>-1160325.1341559989</v>
      </c>
      <c r="K23" s="562">
        <f t="shared" si="1"/>
        <v>-1163183.229353098</v>
      </c>
      <c r="L23" s="562">
        <f t="shared" si="1"/>
        <v>-1166051.0420738671</v>
      </c>
      <c r="M23" s="562">
        <f t="shared" si="1"/>
        <v>-1168928.6053578872</v>
      </c>
      <c r="N23" s="562">
        <f t="shared" si="1"/>
        <v>-1171815.9523570726</v>
      </c>
      <c r="O23" s="562">
        <f t="shared" si="1"/>
        <v>-1174713.1163360553</v>
      </c>
      <c r="P23" s="562">
        <f t="shared" si="1"/>
        <v>-1177620.1306725668</v>
      </c>
      <c r="Q23" s="562">
        <f t="shared" si="1"/>
        <v>-1180537.0288578221</v>
      </c>
      <c r="R23" s="562">
        <f t="shared" si="1"/>
        <v>-1183463.8444969072</v>
      </c>
      <c r="S23" s="562">
        <f t="shared" si="1"/>
        <v>-1186400.6113091654</v>
      </c>
      <c r="T23" s="562">
        <f t="shared" si="1"/>
        <v>-1189347.3631285853</v>
      </c>
      <c r="U23" s="562">
        <f t="shared" si="1"/>
        <v>-1192304.1339041912</v>
      </c>
      <c r="V23" s="562">
        <f t="shared" si="1"/>
        <v>-1195270.9577004339</v>
      </c>
      <c r="W23" s="562">
        <f t="shared" si="1"/>
        <v>-1198247.8686975844</v>
      </c>
      <c r="X23" s="562">
        <f t="shared" si="1"/>
        <v>-1201234.9011921247</v>
      </c>
      <c r="Y23" s="562">
        <f t="shared" si="1"/>
        <v>-1204232.0895971465</v>
      </c>
      <c r="Z23" s="562">
        <f t="shared" si="1"/>
        <v>-1207239.4684427457</v>
      </c>
      <c r="AA23" s="562">
        <f t="shared" si="1"/>
        <v>-1210257.0723764196</v>
      </c>
      <c r="AB23" s="562">
        <f t="shared" si="1"/>
        <v>-1213284.9361634683</v>
      </c>
      <c r="AC23" s="562">
        <f t="shared" si="1"/>
        <v>-1216323.0946873925</v>
      </c>
      <c r="AD23" s="562">
        <f t="shared" si="1"/>
        <v>-1219371.5829502984</v>
      </c>
      <c r="AE23" s="562">
        <f t="shared" si="1"/>
        <v>-1222430.4360732976</v>
      </c>
      <c r="AF23" s="562">
        <f t="shared" si="1"/>
        <v>-1225499.6892969161</v>
      </c>
    </row>
    <row r="24" spans="2:32">
      <c r="B24" s="560" t="str">
        <f t="shared" si="2"/>
        <v>Custos operacionais</v>
      </c>
      <c r="C24" s="562">
        <f t="shared" si="3"/>
        <v>-2639008.8126031808</v>
      </c>
      <c r="D24" s="562">
        <f t="shared" si="1"/>
        <v>-5249615.7955484642</v>
      </c>
      <c r="E24" s="562">
        <f t="shared" si="1"/>
        <v>-6882902.3231461374</v>
      </c>
      <c r="F24" s="562">
        <f t="shared" si="1"/>
        <v>-6882983.8618532009</v>
      </c>
      <c r="G24" s="562">
        <f t="shared" si="1"/>
        <v>-6883065.6777918683</v>
      </c>
      <c r="H24" s="562">
        <f t="shared" si="1"/>
        <v>-6883147.7719047274</v>
      </c>
      <c r="I24" s="562">
        <f t="shared" si="1"/>
        <v>-6883230.1451375699</v>
      </c>
      <c r="J24" s="562">
        <f t="shared" si="1"/>
        <v>-6883312.798439404</v>
      </c>
      <c r="K24" s="562">
        <f t="shared" si="1"/>
        <v>-6883395.7327624643</v>
      </c>
      <c r="L24" s="562">
        <f t="shared" si="1"/>
        <v>-6883478.9490622226</v>
      </c>
      <c r="M24" s="562">
        <f t="shared" si="1"/>
        <v>-6883562.448297401</v>
      </c>
      <c r="N24" s="562">
        <f t="shared" si="1"/>
        <v>-6883646.2314299783</v>
      </c>
      <c r="O24" s="562">
        <f t="shared" si="1"/>
        <v>-6883730.2994252071</v>
      </c>
      <c r="P24" s="562">
        <f t="shared" si="1"/>
        <v>-6883814.6532516181</v>
      </c>
      <c r="Q24" s="562">
        <f t="shared" si="1"/>
        <v>-6883899.293881041</v>
      </c>
      <c r="R24" s="562">
        <f t="shared" si="1"/>
        <v>-6883984.222288603</v>
      </c>
      <c r="S24" s="562">
        <f t="shared" si="1"/>
        <v>-6884069.4394527497</v>
      </c>
      <c r="T24" s="562">
        <f t="shared" si="1"/>
        <v>-6884154.9463552553</v>
      </c>
      <c r="U24" s="562">
        <f t="shared" si="1"/>
        <v>-6884240.7439812291</v>
      </c>
      <c r="V24" s="562">
        <f t="shared" si="1"/>
        <v>-6884326.8333191322</v>
      </c>
      <c r="W24" s="562">
        <f t="shared" si="1"/>
        <v>-6884413.215360784</v>
      </c>
      <c r="X24" s="562">
        <f t="shared" si="1"/>
        <v>-6884499.8911013771</v>
      </c>
      <c r="Y24" s="562">
        <f t="shared" si="1"/>
        <v>-6884586.8615394887</v>
      </c>
      <c r="Z24" s="562">
        <f t="shared" si="1"/>
        <v>-6884674.1276770877</v>
      </c>
      <c r="AA24" s="562">
        <f t="shared" si="1"/>
        <v>-6884761.6905195573</v>
      </c>
      <c r="AB24" s="562">
        <f t="shared" si="1"/>
        <v>-6884849.5510756904</v>
      </c>
      <c r="AC24" s="562">
        <f t="shared" si="1"/>
        <v>-6884937.7103577135</v>
      </c>
      <c r="AD24" s="562">
        <f t="shared" si="1"/>
        <v>-6885026.1693812963</v>
      </c>
      <c r="AE24" s="562">
        <f t="shared" si="1"/>
        <v>-6885114.9291655589</v>
      </c>
      <c r="AF24" s="562">
        <f t="shared" si="1"/>
        <v>-6885203.990733088</v>
      </c>
    </row>
    <row r="25" spans="2:32">
      <c r="B25" s="560" t="str">
        <f t="shared" si="2"/>
        <v>Impostos sobre o lucro</v>
      </c>
      <c r="C25" s="562">
        <f t="shared" si="3"/>
        <v>-588646.97841360164</v>
      </c>
      <c r="D25" s="562">
        <f t="shared" si="1"/>
        <v>-1054609.3601930402</v>
      </c>
      <c r="E25" s="562">
        <f t="shared" si="1"/>
        <v>-1417668.2640831412</v>
      </c>
      <c r="F25" s="562">
        <f t="shared" si="1"/>
        <v>-1421202.6909072362</v>
      </c>
      <c r="G25" s="562">
        <f t="shared" si="1"/>
        <v>-1424749.1347825334</v>
      </c>
      <c r="H25" s="562">
        <f t="shared" si="1"/>
        <v>-1428307.6365670071</v>
      </c>
      <c r="I25" s="562">
        <f t="shared" si="1"/>
        <v>-1431878.2372575474</v>
      </c>
      <c r="J25" s="562">
        <f t="shared" si="1"/>
        <v>-1435460.9779904359</v>
      </c>
      <c r="K25" s="562">
        <f t="shared" si="1"/>
        <v>-1439055.9000418156</v>
      </c>
      <c r="L25" s="562">
        <f t="shared" si="1"/>
        <v>-1442663.0448281702</v>
      </c>
      <c r="M25" s="562">
        <f t="shared" si="1"/>
        <v>-1446282.453906799</v>
      </c>
      <c r="N25" s="562">
        <f t="shared" si="1"/>
        <v>-1449914.1689762946</v>
      </c>
      <c r="O25" s="562">
        <f t="shared" si="1"/>
        <v>-1453558.2318770266</v>
      </c>
      <c r="P25" s="562">
        <f t="shared" si="1"/>
        <v>-1457214.6845916214</v>
      </c>
      <c r="Q25" s="562">
        <f t="shared" si="1"/>
        <v>-1460883.5692454451</v>
      </c>
      <c r="R25" s="562">
        <f t="shared" si="1"/>
        <v>-1464564.9281070924</v>
      </c>
      <c r="S25" s="562">
        <f t="shared" si="1"/>
        <v>-1468258.8035888693</v>
      </c>
      <c r="T25" s="562">
        <f t="shared" si="1"/>
        <v>-1471965.2382472842</v>
      </c>
      <c r="U25" s="562">
        <f t="shared" si="1"/>
        <v>-1475684.2747835375</v>
      </c>
      <c r="V25" s="562">
        <f t="shared" si="1"/>
        <v>-1479415.9560440141</v>
      </c>
      <c r="W25" s="562">
        <f t="shared" si="1"/>
        <v>-1483160.3250207766</v>
      </c>
      <c r="X25" s="562">
        <f t="shared" si="1"/>
        <v>-1486917.4248520599</v>
      </c>
      <c r="Y25" s="562">
        <f t="shared" si="1"/>
        <v>-1490687.2988227692</v>
      </c>
      <c r="Z25" s="562">
        <f t="shared" si="1"/>
        <v>-1494469.9903649793</v>
      </c>
      <c r="AA25" s="562">
        <f t="shared" si="1"/>
        <v>-1498265.5430584326</v>
      </c>
      <c r="AB25" s="562">
        <f t="shared" si="1"/>
        <v>-1502074.0006310444</v>
      </c>
      <c r="AC25" s="562">
        <f t="shared" si="1"/>
        <v>-1505895.4069594024</v>
      </c>
      <c r="AD25" s="562">
        <f t="shared" si="1"/>
        <v>-1509729.806069277</v>
      </c>
      <c r="AE25" s="562">
        <f t="shared" si="1"/>
        <v>-1513577.2421361248</v>
      </c>
      <c r="AF25" s="562">
        <f t="shared" si="1"/>
        <v>-1517437.7594856007</v>
      </c>
    </row>
    <row r="26" spans="2:32">
      <c r="B26" s="556" t="str">
        <f t="shared" si="2"/>
        <v>Fluxo operacional</v>
      </c>
      <c r="C26" s="557">
        <f t="shared" si="3"/>
        <v>4694073.3838589601</v>
      </c>
      <c r="D26" s="557">
        <f t="shared" si="1"/>
        <v>5529789.2742400924</v>
      </c>
      <c r="E26" s="557">
        <f t="shared" si="1"/>
        <v>3803877.5675496673</v>
      </c>
      <c r="F26" s="557">
        <f t="shared" si="1"/>
        <v>3829937.1434138301</v>
      </c>
      <c r="G26" s="557">
        <f t="shared" si="1"/>
        <v>3856085.3218359314</v>
      </c>
      <c r="H26" s="557">
        <f t="shared" si="1"/>
        <v>3882322.4040646693</v>
      </c>
      <c r="I26" s="557">
        <f t="shared" si="1"/>
        <v>3908648.6923729861</v>
      </c>
      <c r="J26" s="557">
        <f t="shared" si="1"/>
        <v>3935064.4900615481</v>
      </c>
      <c r="K26" s="557">
        <f t="shared" si="1"/>
        <v>3961570.101462252</v>
      </c>
      <c r="L26" s="557">
        <f t="shared" si="1"/>
        <v>3988165.8319417164</v>
      </c>
      <c r="M26" s="557">
        <f t="shared" si="1"/>
        <v>4014851.9879048145</v>
      </c>
      <c r="N26" s="557">
        <f t="shared" si="1"/>
        <v>4041628.876798186</v>
      </c>
      <c r="O26" s="557">
        <f t="shared" si="1"/>
        <v>4068496.8071137955</v>
      </c>
      <c r="P26" s="557">
        <f t="shared" si="1"/>
        <v>4095456.0883924789</v>
      </c>
      <c r="Q26" s="557">
        <f t="shared" si="1"/>
        <v>4122507.0312275058</v>
      </c>
      <c r="R26" s="557">
        <f t="shared" si="1"/>
        <v>4149649.9472681736</v>
      </c>
      <c r="S26" s="557">
        <f t="shared" si="1"/>
        <v>4176885.1492233807</v>
      </c>
      <c r="T26" s="557">
        <f t="shared" si="1"/>
        <v>4204212.950865238</v>
      </c>
      <c r="U26" s="557">
        <f t="shared" si="1"/>
        <v>4231633.6670326749</v>
      </c>
      <c r="V26" s="557">
        <f t="shared" si="1"/>
        <v>4259147.6136350753</v>
      </c>
      <c r="W26" s="557">
        <f t="shared" si="1"/>
        <v>4286755.1076559322</v>
      </c>
      <c r="X26" s="557">
        <f t="shared" si="1"/>
        <v>4314456.4671564586</v>
      </c>
      <c r="Y26" s="557">
        <f t="shared" si="1"/>
        <v>4342252.011279285</v>
      </c>
      <c r="Z26" s="557">
        <f t="shared" si="1"/>
        <v>4370142.06025213</v>
      </c>
      <c r="AA26" s="557">
        <f t="shared" si="1"/>
        <v>4398126.9353914792</v>
      </c>
      <c r="AB26" s="557">
        <f t="shared" si="1"/>
        <v>4426206.9591063084</v>
      </c>
      <c r="AC26" s="557">
        <f t="shared" si="1"/>
        <v>4454382.4549017623</v>
      </c>
      <c r="AD26" s="557">
        <f t="shared" si="1"/>
        <v>4482653.747382923</v>
      </c>
      <c r="AE26" s="557">
        <f t="shared" si="1"/>
        <v>4511021.1622585179</v>
      </c>
      <c r="AF26" s="557">
        <f t="shared" si="1"/>
        <v>4539485.0263446933</v>
      </c>
    </row>
    <row r="27" spans="2:32">
      <c r="B27" s="556" t="str">
        <f t="shared" si="2"/>
        <v>Fluxo de caixa de investimentos</v>
      </c>
      <c r="C27" s="557">
        <f t="shared" si="3"/>
        <v>-31484088.791728489</v>
      </c>
      <c r="D27" s="557">
        <f t="shared" si="1"/>
        <v>-8022635.5183333335</v>
      </c>
      <c r="E27" s="557">
        <f t="shared" si="1"/>
        <v>-38468</v>
      </c>
      <c r="F27" s="557">
        <f t="shared" si="1"/>
        <v>-38468</v>
      </c>
      <c r="G27" s="557">
        <f t="shared" si="1"/>
        <v>-314468</v>
      </c>
      <c r="H27" s="557">
        <f t="shared" si="1"/>
        <v>-38468</v>
      </c>
      <c r="I27" s="557">
        <f t="shared" si="1"/>
        <v>-38468</v>
      </c>
      <c r="J27" s="557">
        <f t="shared" si="1"/>
        <v>-38468</v>
      </c>
      <c r="K27" s="557">
        <f t="shared" si="1"/>
        <v>-38468</v>
      </c>
      <c r="L27" s="557">
        <f t="shared" si="1"/>
        <v>-2460314.0640000002</v>
      </c>
      <c r="M27" s="557">
        <f t="shared" si="1"/>
        <v>-38468</v>
      </c>
      <c r="N27" s="557">
        <f t="shared" si="1"/>
        <v>-38468</v>
      </c>
      <c r="O27" s="557">
        <f t="shared" si="1"/>
        <v>-38468</v>
      </c>
      <c r="P27" s="557">
        <f t="shared" si="1"/>
        <v>-38468</v>
      </c>
      <c r="Q27" s="557">
        <f t="shared" si="1"/>
        <v>-314468</v>
      </c>
      <c r="R27" s="557">
        <f t="shared" si="1"/>
        <v>-38468</v>
      </c>
      <c r="S27" s="557">
        <f t="shared" si="1"/>
        <v>-38468</v>
      </c>
      <c r="T27" s="557">
        <f t="shared" si="1"/>
        <v>-38468</v>
      </c>
      <c r="U27" s="557">
        <f t="shared" si="1"/>
        <v>-38468</v>
      </c>
      <c r="V27" s="557">
        <f t="shared" si="1"/>
        <v>-2460314.0640000002</v>
      </c>
      <c r="W27" s="557">
        <f t="shared" si="1"/>
        <v>-38468</v>
      </c>
      <c r="X27" s="557">
        <f t="shared" si="1"/>
        <v>-38468</v>
      </c>
      <c r="Y27" s="557">
        <f t="shared" si="1"/>
        <v>-38468</v>
      </c>
      <c r="Z27" s="557">
        <f t="shared" si="1"/>
        <v>-38468</v>
      </c>
      <c r="AA27" s="557">
        <f t="shared" si="1"/>
        <v>-314468</v>
      </c>
      <c r="AB27" s="557">
        <f t="shared" si="1"/>
        <v>-38468</v>
      </c>
      <c r="AC27" s="557">
        <f t="shared" si="1"/>
        <v>-38468</v>
      </c>
      <c r="AD27" s="557">
        <f t="shared" si="1"/>
        <v>-38468</v>
      </c>
      <c r="AE27" s="557">
        <f t="shared" si="1"/>
        <v>-38468</v>
      </c>
      <c r="AF27" s="557">
        <f t="shared" si="1"/>
        <v>-2460314.0640000002</v>
      </c>
    </row>
    <row r="28" spans="2:32">
      <c r="B28" s="556" t="str">
        <f>B12</f>
        <v>Fluxo de caixa de projeto</v>
      </c>
      <c r="C28" s="557">
        <f t="shared" si="3"/>
        <v>-26790015.407869525</v>
      </c>
      <c r="D28" s="557">
        <f t="shared" si="1"/>
        <v>-2492846.2440932407</v>
      </c>
      <c r="E28" s="557">
        <f t="shared" si="1"/>
        <v>3765409.5675496673</v>
      </c>
      <c r="F28" s="557">
        <f t="shared" si="1"/>
        <v>3791469.1434138305</v>
      </c>
      <c r="G28" s="557">
        <f t="shared" si="1"/>
        <v>3541617.3218359319</v>
      </c>
      <c r="H28" s="557">
        <f t="shared" si="1"/>
        <v>3843854.4040646693</v>
      </c>
      <c r="I28" s="557">
        <f t="shared" si="1"/>
        <v>3870180.6923729866</v>
      </c>
      <c r="J28" s="557">
        <f t="shared" si="1"/>
        <v>3896596.4900615481</v>
      </c>
      <c r="K28" s="557">
        <f t="shared" si="1"/>
        <v>3923102.101462252</v>
      </c>
      <c r="L28" s="557">
        <f t="shared" si="1"/>
        <v>1527851.7679417164</v>
      </c>
      <c r="M28" s="557">
        <f t="shared" ref="D28:AF32" si="4">M12*1000</f>
        <v>3976383.9879048145</v>
      </c>
      <c r="N28" s="557">
        <f t="shared" si="4"/>
        <v>4003160.876798186</v>
      </c>
      <c r="O28" s="557">
        <f t="shared" si="4"/>
        <v>4030028.8071137955</v>
      </c>
      <c r="P28" s="557">
        <f t="shared" si="4"/>
        <v>4056988.0883924789</v>
      </c>
      <c r="Q28" s="557">
        <f t="shared" si="4"/>
        <v>3808039.0312275058</v>
      </c>
      <c r="R28" s="557">
        <f t="shared" si="4"/>
        <v>4111181.9472681736</v>
      </c>
      <c r="S28" s="557">
        <f t="shared" si="4"/>
        <v>4138417.1492233807</v>
      </c>
      <c r="T28" s="557">
        <f t="shared" si="4"/>
        <v>4165744.950865238</v>
      </c>
      <c r="U28" s="557">
        <f t="shared" si="4"/>
        <v>4193165.6670326749</v>
      </c>
      <c r="V28" s="557">
        <f t="shared" si="4"/>
        <v>1798833.5496350755</v>
      </c>
      <c r="W28" s="557">
        <f t="shared" si="4"/>
        <v>4248287.1076559322</v>
      </c>
      <c r="X28" s="557">
        <f t="shared" si="4"/>
        <v>4275988.4671564586</v>
      </c>
      <c r="Y28" s="557">
        <f t="shared" si="4"/>
        <v>4303784.011279285</v>
      </c>
      <c r="Z28" s="557">
        <f t="shared" si="4"/>
        <v>4331674.06025213</v>
      </c>
      <c r="AA28" s="557">
        <f t="shared" si="4"/>
        <v>4083658.9353914796</v>
      </c>
      <c r="AB28" s="557">
        <f t="shared" si="4"/>
        <v>4387738.9591063084</v>
      </c>
      <c r="AC28" s="557">
        <f t="shared" si="4"/>
        <v>4415914.4549017632</v>
      </c>
      <c r="AD28" s="557">
        <f t="shared" si="4"/>
        <v>4444185.747382923</v>
      </c>
      <c r="AE28" s="557">
        <f t="shared" si="4"/>
        <v>4472553.1622585179</v>
      </c>
      <c r="AF28" s="557">
        <f t="shared" si="4"/>
        <v>2079170.9623446933</v>
      </c>
    </row>
    <row r="29" spans="2:32">
      <c r="B29" s="556" t="str">
        <f t="shared" si="2"/>
        <v>Fluxo de caixa financeiro</v>
      </c>
      <c r="C29" s="557">
        <f t="shared" si="3"/>
        <v>0</v>
      </c>
      <c r="D29" s="557">
        <f t="shared" si="4"/>
        <v>0</v>
      </c>
      <c r="E29" s="557">
        <f t="shared" si="4"/>
        <v>0</v>
      </c>
      <c r="F29" s="557">
        <f t="shared" si="4"/>
        <v>0</v>
      </c>
      <c r="G29" s="557">
        <f t="shared" si="4"/>
        <v>0</v>
      </c>
      <c r="H29" s="557">
        <f t="shared" si="4"/>
        <v>0</v>
      </c>
      <c r="I29" s="557">
        <f t="shared" si="4"/>
        <v>0</v>
      </c>
      <c r="J29" s="557">
        <f t="shared" si="4"/>
        <v>0</v>
      </c>
      <c r="K29" s="557">
        <f t="shared" si="4"/>
        <v>0</v>
      </c>
      <c r="L29" s="557">
        <f t="shared" si="4"/>
        <v>0</v>
      </c>
      <c r="M29" s="557">
        <f t="shared" si="4"/>
        <v>0</v>
      </c>
      <c r="N29" s="557">
        <f t="shared" si="4"/>
        <v>0</v>
      </c>
      <c r="O29" s="557">
        <f t="shared" si="4"/>
        <v>0</v>
      </c>
      <c r="P29" s="557">
        <f t="shared" si="4"/>
        <v>0</v>
      </c>
      <c r="Q29" s="557">
        <f t="shared" si="4"/>
        <v>0</v>
      </c>
      <c r="R29" s="557">
        <f t="shared" si="4"/>
        <v>0</v>
      </c>
      <c r="S29" s="557">
        <f t="shared" si="4"/>
        <v>0</v>
      </c>
      <c r="T29" s="557">
        <f t="shared" si="4"/>
        <v>0</v>
      </c>
      <c r="U29" s="557">
        <f t="shared" si="4"/>
        <v>0</v>
      </c>
      <c r="V29" s="557">
        <f t="shared" si="4"/>
        <v>0</v>
      </c>
      <c r="W29" s="557">
        <f t="shared" si="4"/>
        <v>0</v>
      </c>
      <c r="X29" s="557">
        <f t="shared" si="4"/>
        <v>0</v>
      </c>
      <c r="Y29" s="557">
        <f t="shared" si="4"/>
        <v>0</v>
      </c>
      <c r="Z29" s="557">
        <f t="shared" si="4"/>
        <v>0</v>
      </c>
      <c r="AA29" s="557">
        <f t="shared" si="4"/>
        <v>0</v>
      </c>
      <c r="AB29" s="557">
        <f t="shared" si="4"/>
        <v>0</v>
      </c>
      <c r="AC29" s="557">
        <f t="shared" si="4"/>
        <v>0</v>
      </c>
      <c r="AD29" s="557">
        <f t="shared" si="4"/>
        <v>0</v>
      </c>
      <c r="AE29" s="557">
        <f t="shared" si="4"/>
        <v>0</v>
      </c>
      <c r="AF29" s="557">
        <f t="shared" si="4"/>
        <v>0</v>
      </c>
    </row>
    <row r="30" spans="2:32">
      <c r="B30" s="556" t="str">
        <f t="shared" si="2"/>
        <v>Fluxo de caixa alavancado</v>
      </c>
      <c r="C30" s="557">
        <f t="shared" si="3"/>
        <v>-26790015.407869525</v>
      </c>
      <c r="D30" s="557">
        <f t="shared" si="4"/>
        <v>-2492846.2440932407</v>
      </c>
      <c r="E30" s="557">
        <f t="shared" si="4"/>
        <v>3765409.5675496673</v>
      </c>
      <c r="F30" s="557">
        <f t="shared" si="4"/>
        <v>3791469.1434138305</v>
      </c>
      <c r="G30" s="557">
        <f t="shared" si="4"/>
        <v>3541617.3218359319</v>
      </c>
      <c r="H30" s="557">
        <f t="shared" si="4"/>
        <v>3843854.4040646693</v>
      </c>
      <c r="I30" s="557">
        <f t="shared" si="4"/>
        <v>3870180.6923729866</v>
      </c>
      <c r="J30" s="557">
        <f t="shared" si="4"/>
        <v>3896596.4900615481</v>
      </c>
      <c r="K30" s="557">
        <f t="shared" si="4"/>
        <v>3923102.101462252</v>
      </c>
      <c r="L30" s="557">
        <f t="shared" si="4"/>
        <v>1527851.7679417164</v>
      </c>
      <c r="M30" s="557">
        <f t="shared" si="4"/>
        <v>3976383.9879048145</v>
      </c>
      <c r="N30" s="557">
        <f t="shared" si="4"/>
        <v>4003160.876798186</v>
      </c>
      <c r="O30" s="557">
        <f t="shared" si="4"/>
        <v>4030028.8071137955</v>
      </c>
      <c r="P30" s="557">
        <f t="shared" si="4"/>
        <v>4056988.0883924789</v>
      </c>
      <c r="Q30" s="557">
        <f t="shared" si="4"/>
        <v>3808039.0312275058</v>
      </c>
      <c r="R30" s="557">
        <f t="shared" si="4"/>
        <v>4111181.9472681736</v>
      </c>
      <c r="S30" s="557">
        <f t="shared" si="4"/>
        <v>4138417.1492233807</v>
      </c>
      <c r="T30" s="557">
        <f t="shared" si="4"/>
        <v>4165744.950865238</v>
      </c>
      <c r="U30" s="557">
        <f t="shared" si="4"/>
        <v>4193165.6670326749</v>
      </c>
      <c r="V30" s="557">
        <f t="shared" si="4"/>
        <v>1798833.5496350755</v>
      </c>
      <c r="W30" s="557">
        <f t="shared" si="4"/>
        <v>4248287.1076559322</v>
      </c>
      <c r="X30" s="557">
        <f t="shared" si="4"/>
        <v>4275988.4671564586</v>
      </c>
      <c r="Y30" s="557">
        <f t="shared" si="4"/>
        <v>4303784.011279285</v>
      </c>
      <c r="Z30" s="557">
        <f t="shared" si="4"/>
        <v>4331674.06025213</v>
      </c>
      <c r="AA30" s="557">
        <f t="shared" si="4"/>
        <v>4083658.9353914796</v>
      </c>
      <c r="AB30" s="557">
        <f t="shared" si="4"/>
        <v>4387738.9591063084</v>
      </c>
      <c r="AC30" s="557">
        <f t="shared" si="4"/>
        <v>4415914.4549017632</v>
      </c>
      <c r="AD30" s="557">
        <f t="shared" si="4"/>
        <v>4444185.747382923</v>
      </c>
      <c r="AE30" s="557">
        <f t="shared" si="4"/>
        <v>4472553.1622585179</v>
      </c>
      <c r="AF30" s="557">
        <f t="shared" si="4"/>
        <v>2079170.9623446933</v>
      </c>
    </row>
    <row r="31" spans="2:32">
      <c r="B31" s="560" t="str">
        <f t="shared" si="2"/>
        <v>Fluxo de caixa acumulado</v>
      </c>
      <c r="C31" s="562">
        <f t="shared" si="3"/>
        <v>-26790015.407869525</v>
      </c>
      <c r="D31" s="562">
        <f t="shared" si="4"/>
        <v>-29282861.651962768</v>
      </c>
      <c r="E31" s="562">
        <f t="shared" si="4"/>
        <v>-25517452.0844131</v>
      </c>
      <c r="F31" s="562">
        <f t="shared" si="4"/>
        <v>-21725982.940999269</v>
      </c>
      <c r="G31" s="562">
        <f t="shared" si="4"/>
        <v>-18184365.619163338</v>
      </c>
      <c r="H31" s="562">
        <f t="shared" si="4"/>
        <v>-14340511.215098668</v>
      </c>
      <c r="I31" s="562">
        <f t="shared" si="4"/>
        <v>-10470330.522725683</v>
      </c>
      <c r="J31" s="562">
        <f t="shared" si="4"/>
        <v>-6573734.0326641342</v>
      </c>
      <c r="K31" s="562">
        <f t="shared" si="4"/>
        <v>-2650631.9312018822</v>
      </c>
      <c r="L31" s="562">
        <f t="shared" si="4"/>
        <v>-1122780.1632601658</v>
      </c>
      <c r="M31" s="562">
        <f t="shared" si="4"/>
        <v>2853603.8246446489</v>
      </c>
      <c r="N31" s="562">
        <f t="shared" si="4"/>
        <v>6856764.7014428349</v>
      </c>
      <c r="O31" s="562">
        <f t="shared" si="4"/>
        <v>10886793.508556632</v>
      </c>
      <c r="P31" s="562">
        <f t="shared" si="4"/>
        <v>14943781.59694911</v>
      </c>
      <c r="Q31" s="562">
        <f t="shared" si="4"/>
        <v>18751820.628176615</v>
      </c>
      <c r="R31" s="562">
        <f t="shared" si="4"/>
        <v>22863002.575444788</v>
      </c>
      <c r="S31" s="562">
        <f t="shared" si="4"/>
        <v>27001419.724668168</v>
      </c>
      <c r="T31" s="562">
        <f t="shared" si="4"/>
        <v>31167164.675533406</v>
      </c>
      <c r="U31" s="562">
        <f t="shared" si="4"/>
        <v>35360330.342566088</v>
      </c>
      <c r="V31" s="562">
        <f t="shared" si="4"/>
        <v>37159163.892201163</v>
      </c>
      <c r="W31" s="562">
        <f t="shared" si="4"/>
        <v>41407450.99985709</v>
      </c>
      <c r="X31" s="562">
        <f t="shared" si="4"/>
        <v>45683439.467013553</v>
      </c>
      <c r="Y31" s="562">
        <f t="shared" si="4"/>
        <v>49987223.478292838</v>
      </c>
      <c r="Z31" s="562">
        <f t="shared" si="4"/>
        <v>54318897.538544968</v>
      </c>
      <c r="AA31" s="562">
        <f t="shared" si="4"/>
        <v>58402556.473936446</v>
      </c>
      <c r="AB31" s="562">
        <f t="shared" si="4"/>
        <v>62790295.433042757</v>
      </c>
      <c r="AC31" s="562">
        <f t="shared" si="4"/>
        <v>67206209.88794452</v>
      </c>
      <c r="AD31" s="562">
        <f t="shared" si="4"/>
        <v>71650395.635327458</v>
      </c>
      <c r="AE31" s="562">
        <f t="shared" si="4"/>
        <v>76122948.797585964</v>
      </c>
      <c r="AF31" s="562">
        <f t="shared" si="4"/>
        <v>78202119.759930655</v>
      </c>
    </row>
    <row r="32" spans="2:32">
      <c r="B32" s="560" t="str">
        <f t="shared" si="2"/>
        <v>Fluxo de caixa acumulado - descontado</v>
      </c>
      <c r="C32" s="562">
        <f t="shared" si="3"/>
        <v>-24133076.493203472</v>
      </c>
      <c r="D32" s="562">
        <f t="shared" si="4"/>
        <v>-26155978.963201035</v>
      </c>
      <c r="E32" s="562">
        <f t="shared" si="4"/>
        <v>-23403453.153194696</v>
      </c>
      <c r="F32" s="562">
        <f t="shared" si="4"/>
        <v>-20906752.757280145</v>
      </c>
      <c r="G32" s="562">
        <f t="shared" si="4"/>
        <v>-18805877.513755344</v>
      </c>
      <c r="H32" s="562">
        <f t="shared" si="4"/>
        <v>-16751854.592420241</v>
      </c>
      <c r="I32" s="562">
        <f t="shared" si="4"/>
        <v>-14888869.736930693</v>
      </c>
      <c r="J32" s="562">
        <f t="shared" si="4"/>
        <v>-13199194.483581185</v>
      </c>
      <c r="K32" s="562">
        <f t="shared" si="4"/>
        <v>-11666741.547019098</v>
      </c>
      <c r="L32" s="562">
        <f t="shared" si="4"/>
        <v>-11129117.752537558</v>
      </c>
      <c r="M32" s="562">
        <f t="shared" si="4"/>
        <v>-9868668.6799499728</v>
      </c>
      <c r="N32" s="562">
        <f t="shared" si="4"/>
        <v>-8725580.4408397339</v>
      </c>
      <c r="O32" s="562">
        <f t="shared" si="4"/>
        <v>-7688948.4924398586</v>
      </c>
      <c r="P32" s="562">
        <f t="shared" si="4"/>
        <v>-6748879.1330374302</v>
      </c>
      <c r="Q32" s="562">
        <f t="shared" si="4"/>
        <v>-5954006.9806735497</v>
      </c>
      <c r="R32" s="562">
        <f t="shared" si="4"/>
        <v>-5180966.3609072976</v>
      </c>
      <c r="S32" s="562">
        <f t="shared" si="4"/>
        <v>-4479979.935038561</v>
      </c>
      <c r="T32" s="562">
        <f t="shared" si="4"/>
        <v>-3844345.0184027469</v>
      </c>
      <c r="U32" s="562">
        <f t="shared" si="4"/>
        <v>-3267981.0585353565</v>
      </c>
      <c r="V32" s="562">
        <f t="shared" si="4"/>
        <v>-3045247.5797211719</v>
      </c>
      <c r="W32" s="562">
        <f t="shared" si="4"/>
        <v>-2571389.6998754023</v>
      </c>
      <c r="X32" s="562">
        <f t="shared" si="4"/>
        <v>-2141743.9711328004</v>
      </c>
      <c r="Y32" s="562">
        <f t="shared" si="4"/>
        <v>-1752193.1112346747</v>
      </c>
      <c r="Z32" s="562">
        <f t="shared" si="4"/>
        <v>-1399002.462846475</v>
      </c>
      <c r="AA32" s="562">
        <f t="shared" si="4"/>
        <v>-1099056.7805889004</v>
      </c>
      <c r="AB32" s="562">
        <f t="shared" si="4"/>
        <v>-808738.98348656623</v>
      </c>
      <c r="AC32" s="562">
        <f t="shared" si="4"/>
        <v>-545534.51661139051</v>
      </c>
      <c r="AD32" s="562">
        <f t="shared" si="4"/>
        <v>-306915.78540268977</v>
      </c>
      <c r="AE32" s="562">
        <f t="shared" si="4"/>
        <v>-90590.359517807767</v>
      </c>
      <c r="AF32" s="562">
        <f t="shared" si="4"/>
        <v>6.8573058342735749E-7</v>
      </c>
    </row>
    <row r="33" spans="2:8">
      <c r="C33" s="536"/>
    </row>
    <row r="34" spans="2:8">
      <c r="C34" s="554">
        <f>G18</f>
        <v>5</v>
      </c>
      <c r="D34" s="554">
        <f>L18</f>
        <v>10</v>
      </c>
      <c r="E34" s="554">
        <f>Q18</f>
        <v>15</v>
      </c>
      <c r="F34" s="554">
        <f>V18</f>
        <v>20</v>
      </c>
      <c r="G34" s="554">
        <f>AA18</f>
        <v>25</v>
      </c>
      <c r="H34" s="554">
        <f>AF18</f>
        <v>30</v>
      </c>
    </row>
    <row r="35" spans="2:8">
      <c r="B35" s="556" t="str">
        <f>B19</f>
        <v>Ingressos operacionais líquidos</v>
      </c>
      <c r="C35" s="557">
        <f t="shared" ref="C35:C48" si="5">G19</f>
        <v>13315708.959398286</v>
      </c>
      <c r="D35" s="557">
        <f t="shared" ref="D35:D48" si="6">L19</f>
        <v>13480358.867905978</v>
      </c>
      <c r="E35" s="557">
        <f t="shared" ref="E35:E48" si="7">Q19</f>
        <v>13647826.923211813</v>
      </c>
      <c r="F35" s="557">
        <f t="shared" ref="F35:F48" si="8">V19</f>
        <v>13818161.360698657</v>
      </c>
      <c r="G35" s="557">
        <f t="shared" ref="G35:G48" si="9">AA19</f>
        <v>13991411.24134589</v>
      </c>
      <c r="H35" s="557">
        <f t="shared" ref="H35:H48" si="10">AF19</f>
        <v>14167626.4658603</v>
      </c>
    </row>
    <row r="36" spans="2:8">
      <c r="B36" s="560" t="str">
        <f t="shared" ref="B36:B48" si="11">B20</f>
        <v>Receita do período</v>
      </c>
      <c r="C36" s="562">
        <f t="shared" si="5"/>
        <v>13315708.959398286</v>
      </c>
      <c r="D36" s="562">
        <f t="shared" si="6"/>
        <v>13480358.867905978</v>
      </c>
      <c r="E36" s="562">
        <f t="shared" si="7"/>
        <v>13647826.923211813</v>
      </c>
      <c r="F36" s="562">
        <f t="shared" si="8"/>
        <v>13818161.360698657</v>
      </c>
      <c r="G36" s="562">
        <f t="shared" si="9"/>
        <v>13991411.24134589</v>
      </c>
      <c r="H36" s="562">
        <f t="shared" si="10"/>
        <v>14167626.4658603</v>
      </c>
    </row>
    <row r="37" spans="2:8">
      <c r="B37" s="560" t="str">
        <f t="shared" si="11"/>
        <v>Inadimplência</v>
      </c>
      <c r="C37" s="562">
        <f t="shared" si="5"/>
        <v>0</v>
      </c>
      <c r="D37" s="562">
        <f t="shared" si="6"/>
        <v>0</v>
      </c>
      <c r="E37" s="562">
        <f t="shared" si="7"/>
        <v>0</v>
      </c>
      <c r="F37" s="562">
        <f t="shared" si="8"/>
        <v>0</v>
      </c>
      <c r="G37" s="562">
        <f t="shared" si="9"/>
        <v>0</v>
      </c>
      <c r="H37" s="562">
        <f t="shared" si="10"/>
        <v>0</v>
      </c>
    </row>
    <row r="38" spans="2:8">
      <c r="B38" s="556" t="str">
        <f t="shared" si="11"/>
        <v>Saques operacionais</v>
      </c>
      <c r="C38" s="557">
        <f t="shared" si="5"/>
        <v>-9459623.6375623532</v>
      </c>
      <c r="D38" s="557">
        <f t="shared" si="6"/>
        <v>-9492193.0359642617</v>
      </c>
      <c r="E38" s="557">
        <f t="shared" si="7"/>
        <v>-9525319.8919843063</v>
      </c>
      <c r="F38" s="557">
        <f t="shared" si="8"/>
        <v>-9559013.7470635809</v>
      </c>
      <c r="G38" s="557">
        <f t="shared" si="9"/>
        <v>-9593284.3059544098</v>
      </c>
      <c r="H38" s="557">
        <f t="shared" si="10"/>
        <v>-9628141.4395156056</v>
      </c>
    </row>
    <row r="39" spans="2:8">
      <c r="B39" s="560" t="str">
        <f t="shared" si="11"/>
        <v>Impostos indiretos</v>
      </c>
      <c r="C39" s="562">
        <f t="shared" si="5"/>
        <v>-1151808.8249879517</v>
      </c>
      <c r="D39" s="562">
        <f t="shared" si="6"/>
        <v>-1166051.0420738671</v>
      </c>
      <c r="E39" s="562">
        <f t="shared" si="7"/>
        <v>-1180537.0288578221</v>
      </c>
      <c r="F39" s="562">
        <f t="shared" si="8"/>
        <v>-1195270.9577004339</v>
      </c>
      <c r="G39" s="562">
        <f t="shared" si="9"/>
        <v>-1210257.0723764196</v>
      </c>
      <c r="H39" s="562">
        <f t="shared" si="10"/>
        <v>-1225499.6892969161</v>
      </c>
    </row>
    <row r="40" spans="2:8">
      <c r="B40" s="560" t="str">
        <f t="shared" si="11"/>
        <v>Custos operacionais</v>
      </c>
      <c r="C40" s="562">
        <f t="shared" si="5"/>
        <v>-6883065.6777918683</v>
      </c>
      <c r="D40" s="562">
        <f t="shared" si="6"/>
        <v>-6883478.9490622226</v>
      </c>
      <c r="E40" s="562">
        <f t="shared" si="7"/>
        <v>-6883899.293881041</v>
      </c>
      <c r="F40" s="562">
        <f t="shared" si="8"/>
        <v>-6884326.8333191322</v>
      </c>
      <c r="G40" s="562">
        <f t="shared" si="9"/>
        <v>-6884761.6905195573</v>
      </c>
      <c r="H40" s="562">
        <f t="shared" si="10"/>
        <v>-6885203.990733088</v>
      </c>
    </row>
    <row r="41" spans="2:8">
      <c r="B41" s="560" t="str">
        <f t="shared" si="11"/>
        <v>Impostos sobre o lucro</v>
      </c>
      <c r="C41" s="562">
        <f t="shared" si="5"/>
        <v>-1424749.1347825334</v>
      </c>
      <c r="D41" s="562">
        <f t="shared" si="6"/>
        <v>-1442663.0448281702</v>
      </c>
      <c r="E41" s="562">
        <f t="shared" si="7"/>
        <v>-1460883.5692454451</v>
      </c>
      <c r="F41" s="562">
        <f t="shared" si="8"/>
        <v>-1479415.9560440141</v>
      </c>
      <c r="G41" s="562">
        <f t="shared" si="9"/>
        <v>-1498265.5430584326</v>
      </c>
      <c r="H41" s="562">
        <f t="shared" si="10"/>
        <v>-1517437.7594856007</v>
      </c>
    </row>
    <row r="42" spans="2:8">
      <c r="B42" s="556" t="str">
        <f t="shared" si="11"/>
        <v>Fluxo operacional</v>
      </c>
      <c r="C42" s="557">
        <f t="shared" si="5"/>
        <v>3856085.3218359314</v>
      </c>
      <c r="D42" s="557">
        <f t="shared" si="6"/>
        <v>3988165.8319417164</v>
      </c>
      <c r="E42" s="557">
        <f t="shared" si="7"/>
        <v>4122507.0312275058</v>
      </c>
      <c r="F42" s="557">
        <f t="shared" si="8"/>
        <v>4259147.6136350753</v>
      </c>
      <c r="G42" s="557">
        <f t="shared" si="9"/>
        <v>4398126.9353914792</v>
      </c>
      <c r="H42" s="557">
        <f t="shared" si="10"/>
        <v>4539485.0263446933</v>
      </c>
    </row>
    <row r="43" spans="2:8">
      <c r="B43" s="556" t="str">
        <f t="shared" si="11"/>
        <v>Fluxo de caixa de investimentos</v>
      </c>
      <c r="C43" s="557">
        <f t="shared" si="5"/>
        <v>-314468</v>
      </c>
      <c r="D43" s="557">
        <f t="shared" si="6"/>
        <v>-2460314.0640000002</v>
      </c>
      <c r="E43" s="557">
        <f t="shared" si="7"/>
        <v>-314468</v>
      </c>
      <c r="F43" s="557">
        <f t="shared" si="8"/>
        <v>-2460314.0640000002</v>
      </c>
      <c r="G43" s="557">
        <f t="shared" si="9"/>
        <v>-314468</v>
      </c>
      <c r="H43" s="557">
        <f t="shared" si="10"/>
        <v>-2460314.0640000002</v>
      </c>
    </row>
    <row r="44" spans="2:8">
      <c r="B44" s="556" t="str">
        <f t="shared" si="11"/>
        <v>Fluxo de caixa de projeto</v>
      </c>
      <c r="C44" s="557">
        <f t="shared" si="5"/>
        <v>3541617.3218359319</v>
      </c>
      <c r="D44" s="557">
        <f t="shared" si="6"/>
        <v>1527851.7679417164</v>
      </c>
      <c r="E44" s="557">
        <f t="shared" si="7"/>
        <v>3808039.0312275058</v>
      </c>
      <c r="F44" s="557">
        <f t="shared" si="8"/>
        <v>1798833.5496350755</v>
      </c>
      <c r="G44" s="557">
        <f t="shared" si="9"/>
        <v>4083658.9353914796</v>
      </c>
      <c r="H44" s="557">
        <f t="shared" si="10"/>
        <v>2079170.9623446933</v>
      </c>
    </row>
    <row r="45" spans="2:8">
      <c r="B45" s="556" t="str">
        <f t="shared" si="11"/>
        <v>Fluxo de caixa financeiro</v>
      </c>
      <c r="C45" s="557">
        <f t="shared" si="5"/>
        <v>0</v>
      </c>
      <c r="D45" s="557">
        <f t="shared" si="6"/>
        <v>0</v>
      </c>
      <c r="E45" s="557">
        <f t="shared" si="7"/>
        <v>0</v>
      </c>
      <c r="F45" s="557">
        <f t="shared" si="8"/>
        <v>0</v>
      </c>
      <c r="G45" s="557">
        <f t="shared" si="9"/>
        <v>0</v>
      </c>
      <c r="H45" s="557">
        <f t="shared" si="10"/>
        <v>0</v>
      </c>
    </row>
    <row r="46" spans="2:8">
      <c r="B46" s="556" t="str">
        <f t="shared" si="11"/>
        <v>Fluxo de caixa alavancado</v>
      </c>
      <c r="C46" s="557">
        <f t="shared" si="5"/>
        <v>3541617.3218359319</v>
      </c>
      <c r="D46" s="557">
        <f t="shared" si="6"/>
        <v>1527851.7679417164</v>
      </c>
      <c r="E46" s="557">
        <f t="shared" si="7"/>
        <v>3808039.0312275058</v>
      </c>
      <c r="F46" s="557">
        <f t="shared" si="8"/>
        <v>1798833.5496350755</v>
      </c>
      <c r="G46" s="557">
        <f t="shared" si="9"/>
        <v>4083658.9353914796</v>
      </c>
      <c r="H46" s="557">
        <f t="shared" si="10"/>
        <v>2079170.9623446933</v>
      </c>
    </row>
    <row r="47" spans="2:8">
      <c r="B47" s="560" t="str">
        <f t="shared" si="11"/>
        <v>Fluxo de caixa acumulado</v>
      </c>
      <c r="C47" s="562">
        <f t="shared" si="5"/>
        <v>-18184365.619163338</v>
      </c>
      <c r="D47" s="562">
        <f t="shared" si="6"/>
        <v>-1122780.1632601658</v>
      </c>
      <c r="E47" s="562">
        <f t="shared" si="7"/>
        <v>18751820.628176615</v>
      </c>
      <c r="F47" s="562">
        <f t="shared" si="8"/>
        <v>37159163.892201163</v>
      </c>
      <c r="G47" s="562">
        <f t="shared" si="9"/>
        <v>58402556.473936446</v>
      </c>
      <c r="H47" s="562">
        <f t="shared" si="10"/>
        <v>78202119.759930655</v>
      </c>
    </row>
    <row r="48" spans="2:8">
      <c r="B48" s="560" t="str">
        <f t="shared" si="11"/>
        <v>Fluxo de caixa acumulado - descontado</v>
      </c>
      <c r="C48" s="562">
        <f t="shared" si="5"/>
        <v>-18805877.513755344</v>
      </c>
      <c r="D48" s="562">
        <f t="shared" si="6"/>
        <v>-11129117.752537558</v>
      </c>
      <c r="E48" s="562">
        <f t="shared" si="7"/>
        <v>-5954006.9806735497</v>
      </c>
      <c r="F48" s="562">
        <f t="shared" si="8"/>
        <v>-3045247.5797211719</v>
      </c>
      <c r="G48" s="562">
        <f t="shared" si="9"/>
        <v>-1099056.7805889004</v>
      </c>
      <c r="H48" s="584">
        <f t="shared" si="10"/>
        <v>6.8573058342735749E-7</v>
      </c>
    </row>
  </sheetData>
  <sheetProtection password="C643" sheet="1" objects="1" scenarios="1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BG51"/>
  <sheetViews>
    <sheetView showGridLines="0" zoomScale="115" zoomScaleNormal="115" workbookViewId="0">
      <pane xSplit="1" ySplit="3" topLeftCell="B46" activePane="bottomRight" state="frozen"/>
      <selection pane="bottomRight" activeCell="C55" sqref="C55"/>
      <selection pane="bottomLeft" activeCell="G68" sqref="G68"/>
      <selection pane="topRight" activeCell="G68" sqref="G68"/>
    </sheetView>
  </sheetViews>
  <sheetFormatPr defaultColWidth="14.42578125" defaultRowHeight="15" customHeight="1"/>
  <cols>
    <col min="1" max="1" width="44.28515625" bestFit="1" customWidth="1"/>
    <col min="2" max="2" width="4.7109375" customWidth="1"/>
    <col min="3" max="3" width="13.42578125" customWidth="1"/>
    <col min="4" max="4" width="9.28515625" bestFit="1" customWidth="1"/>
    <col min="5" max="40" width="7.7109375" bestFit="1" customWidth="1"/>
    <col min="41" max="59" width="4.7109375" bestFit="1" customWidth="1"/>
  </cols>
  <sheetData>
    <row r="1" spans="1:59" s="148" customFormat="1" ht="12.75" customHeight="1">
      <c r="A1" s="146" t="s">
        <v>128</v>
      </c>
      <c r="B1" s="147"/>
      <c r="C1" s="147"/>
      <c r="D1" s="146"/>
      <c r="E1" s="146">
        <f>YEAR(Painel!$C$3)</f>
        <v>2025</v>
      </c>
      <c r="F1" s="146">
        <f t="shared" ref="F1:AN1" si="0">E1+1</f>
        <v>2026</v>
      </c>
      <c r="G1" s="146">
        <f t="shared" si="0"/>
        <v>2027</v>
      </c>
      <c r="H1" s="146">
        <f t="shared" si="0"/>
        <v>2028</v>
      </c>
      <c r="I1" s="146">
        <f t="shared" si="0"/>
        <v>2029</v>
      </c>
      <c r="J1" s="146">
        <f t="shared" si="0"/>
        <v>2030</v>
      </c>
      <c r="K1" s="146">
        <f t="shared" si="0"/>
        <v>2031</v>
      </c>
      <c r="L1" s="146">
        <f t="shared" si="0"/>
        <v>2032</v>
      </c>
      <c r="M1" s="146">
        <f t="shared" si="0"/>
        <v>2033</v>
      </c>
      <c r="N1" s="146">
        <f t="shared" si="0"/>
        <v>2034</v>
      </c>
      <c r="O1" s="146">
        <f t="shared" si="0"/>
        <v>2035</v>
      </c>
      <c r="P1" s="146">
        <f t="shared" si="0"/>
        <v>2036</v>
      </c>
      <c r="Q1" s="146">
        <f t="shared" si="0"/>
        <v>2037</v>
      </c>
      <c r="R1" s="146">
        <f t="shared" si="0"/>
        <v>2038</v>
      </c>
      <c r="S1" s="146">
        <f t="shared" si="0"/>
        <v>2039</v>
      </c>
      <c r="T1" s="146">
        <f t="shared" si="0"/>
        <v>2040</v>
      </c>
      <c r="U1" s="146">
        <f t="shared" si="0"/>
        <v>2041</v>
      </c>
      <c r="V1" s="146">
        <f t="shared" si="0"/>
        <v>2042</v>
      </c>
      <c r="W1" s="146">
        <f t="shared" si="0"/>
        <v>2043</v>
      </c>
      <c r="X1" s="146">
        <f t="shared" si="0"/>
        <v>2044</v>
      </c>
      <c r="Y1" s="146">
        <f t="shared" si="0"/>
        <v>2045</v>
      </c>
      <c r="Z1" s="146">
        <f t="shared" si="0"/>
        <v>2046</v>
      </c>
      <c r="AA1" s="146">
        <f t="shared" si="0"/>
        <v>2047</v>
      </c>
      <c r="AB1" s="146">
        <f t="shared" si="0"/>
        <v>2048</v>
      </c>
      <c r="AC1" s="146">
        <f t="shared" si="0"/>
        <v>2049</v>
      </c>
      <c r="AD1" s="146">
        <f t="shared" si="0"/>
        <v>2050</v>
      </c>
      <c r="AE1" s="146">
        <f t="shared" si="0"/>
        <v>2051</v>
      </c>
      <c r="AF1" s="146">
        <f t="shared" si="0"/>
        <v>2052</v>
      </c>
      <c r="AG1" s="146">
        <f t="shared" si="0"/>
        <v>2053</v>
      </c>
      <c r="AH1" s="146">
        <f t="shared" si="0"/>
        <v>2054</v>
      </c>
      <c r="AI1" s="146">
        <f t="shared" si="0"/>
        <v>2055</v>
      </c>
      <c r="AJ1" s="146">
        <f t="shared" si="0"/>
        <v>2056</v>
      </c>
      <c r="AK1" s="146">
        <f t="shared" si="0"/>
        <v>2057</v>
      </c>
      <c r="AL1" s="146">
        <f t="shared" si="0"/>
        <v>2058</v>
      </c>
      <c r="AM1" s="146">
        <f t="shared" si="0"/>
        <v>2059</v>
      </c>
      <c r="AN1" s="146">
        <f t="shared" si="0"/>
        <v>2060</v>
      </c>
    </row>
    <row r="2" spans="1:59" s="151" customFormat="1" ht="12.75" customHeight="1">
      <c r="A2" s="149" t="s">
        <v>107</v>
      </c>
      <c r="B2" s="149"/>
      <c r="C2" s="149"/>
      <c r="D2" s="150"/>
      <c r="E2" s="149">
        <v>1</v>
      </c>
      <c r="F2" s="149">
        <v>2</v>
      </c>
      <c r="G2" s="149">
        <v>3</v>
      </c>
      <c r="H2" s="149">
        <v>4</v>
      </c>
      <c r="I2" s="149">
        <v>5</v>
      </c>
      <c r="J2" s="149">
        <v>6</v>
      </c>
      <c r="K2" s="149">
        <v>7</v>
      </c>
      <c r="L2" s="149">
        <v>8</v>
      </c>
      <c r="M2" s="149">
        <v>9</v>
      </c>
      <c r="N2" s="149">
        <v>10</v>
      </c>
      <c r="O2" s="149">
        <v>11</v>
      </c>
      <c r="P2" s="149">
        <v>12</v>
      </c>
      <c r="Q2" s="149">
        <v>13</v>
      </c>
      <c r="R2" s="149">
        <v>14</v>
      </c>
      <c r="S2" s="149">
        <v>15</v>
      </c>
      <c r="T2" s="149">
        <v>16</v>
      </c>
      <c r="U2" s="149">
        <v>17</v>
      </c>
      <c r="V2" s="149">
        <v>18</v>
      </c>
      <c r="W2" s="149">
        <v>19</v>
      </c>
      <c r="X2" s="149">
        <v>20</v>
      </c>
      <c r="Y2" s="149">
        <v>21</v>
      </c>
      <c r="Z2" s="149">
        <v>22</v>
      </c>
      <c r="AA2" s="149">
        <v>23</v>
      </c>
      <c r="AB2" s="149">
        <v>24</v>
      </c>
      <c r="AC2" s="149">
        <v>25</v>
      </c>
      <c r="AD2" s="149">
        <v>26</v>
      </c>
      <c r="AE2" s="149">
        <v>27</v>
      </c>
      <c r="AF2" s="149">
        <v>28</v>
      </c>
      <c r="AG2" s="149">
        <v>29</v>
      </c>
      <c r="AH2" s="149">
        <v>30</v>
      </c>
      <c r="AI2" s="149">
        <v>31</v>
      </c>
      <c r="AJ2" s="149">
        <v>32</v>
      </c>
      <c r="AK2" s="149">
        <v>33</v>
      </c>
      <c r="AL2" s="149">
        <v>34</v>
      </c>
      <c r="AM2" s="149">
        <v>35</v>
      </c>
      <c r="AN2" s="149">
        <v>36</v>
      </c>
    </row>
    <row r="3" spans="1:59" s="151" customFormat="1" ht="12.75" customHeight="1">
      <c r="A3" s="149" t="s">
        <v>108</v>
      </c>
      <c r="B3" s="149"/>
      <c r="C3" s="149"/>
      <c r="D3" s="152"/>
      <c r="E3" s="152">
        <f>IF(E1&lt;YEAR(Painel!$C$6),100%,IF(E1=YEAR(Painel!$C$6),MONTH(Painel!$C$6)/12,0))</f>
        <v>1</v>
      </c>
      <c r="F3" s="152">
        <f>IF(F1&lt;YEAR(Painel!$C$6),100%,IF(F1=YEAR(Painel!$C$6),MONTH(Painel!$C$6)/12,0))</f>
        <v>1</v>
      </c>
      <c r="G3" s="152">
        <f>IF(G1&lt;YEAR(Painel!$C$6),100%,IF(G1=YEAR(Painel!$C$6),MONTH(Painel!$C$6)/12,0))</f>
        <v>1</v>
      </c>
      <c r="H3" s="152">
        <f>IF(H1&lt;YEAR(Painel!$C$6),1,IF(H1=YEAR(Painel!$C$6),MONTH(Painel!$C$6)/12,0))</f>
        <v>1</v>
      </c>
      <c r="I3" s="152">
        <f>IF(I1&lt;YEAR(Painel!$C$6),1,IF(I1=YEAR(Painel!$C$6),MONTH(Painel!$C$6)/12,0))</f>
        <v>1</v>
      </c>
      <c r="J3" s="152">
        <f>IF(J1&lt;YEAR(Painel!$C$6),1,IF(J1=YEAR(Painel!$C$6),MONTH(Painel!$C$6)/12,0))</f>
        <v>1</v>
      </c>
      <c r="K3" s="152">
        <f>IF(K1&lt;YEAR(Painel!$C$6),1,IF(K1=YEAR(Painel!$C$6),MONTH(Painel!$C$6)/12,0))</f>
        <v>1</v>
      </c>
      <c r="L3" s="152">
        <f>IF(L1&lt;YEAR(Painel!$C$6),1,IF(L1=YEAR(Painel!$C$6),MONTH(Painel!$C$6)/12,0))</f>
        <v>1</v>
      </c>
      <c r="M3" s="152">
        <f>IF(M1&lt;YEAR(Painel!$C$6),1,IF(M1=YEAR(Painel!$C$6),MONTH(Painel!$C$6)/12,0))</f>
        <v>1</v>
      </c>
      <c r="N3" s="152">
        <f>IF(N1&lt;YEAR(Painel!$C$6),1,IF(N1=YEAR(Painel!$C$6),MONTH(Painel!$C$6)/12,0))</f>
        <v>1</v>
      </c>
      <c r="O3" s="152">
        <f>IF(O1&lt;YEAR(Painel!$C$6),1,IF(O1=YEAR(Painel!$C$6),MONTH(Painel!$C$6)/12,0))</f>
        <v>1</v>
      </c>
      <c r="P3" s="152">
        <f>IF(P1&lt;YEAR(Painel!$C$6),1,IF(P1=YEAR(Painel!$C$6),MONTH(Painel!$C$6)/12,0))</f>
        <v>1</v>
      </c>
      <c r="Q3" s="152">
        <f>IF(Q1&lt;YEAR(Painel!$C$6),1,IF(Q1=YEAR(Painel!$C$6),MONTH(Painel!$C$6)/12,0))</f>
        <v>1</v>
      </c>
      <c r="R3" s="152">
        <f>IF(R1&lt;YEAR(Painel!$C$6),1,IF(R1=YEAR(Painel!$C$6),MONTH(Painel!$C$6)/12,0))</f>
        <v>1</v>
      </c>
      <c r="S3" s="152">
        <f>IF(S1&lt;YEAR(Painel!$C$6),1,IF(S1=YEAR(Painel!$C$6),MONTH(Painel!$C$6)/12,0))</f>
        <v>1</v>
      </c>
      <c r="T3" s="152">
        <f>IF(T1&lt;YEAR(Painel!$C$6),1,IF(T1=YEAR(Painel!$C$6),MONTH(Painel!$C$6)/12,0))</f>
        <v>1</v>
      </c>
      <c r="U3" s="152">
        <f>IF(U1&lt;YEAR(Painel!$C$6),1,IF(U1=YEAR(Painel!$C$6),MONTH(Painel!$C$6)/12,0))</f>
        <v>1</v>
      </c>
      <c r="V3" s="152">
        <f>IF(V1&lt;YEAR(Painel!$C$6),1,IF(V1=YEAR(Painel!$C$6),MONTH(Painel!$C$6)/12,0))</f>
        <v>1</v>
      </c>
      <c r="W3" s="152">
        <f>IF(W1&lt;YEAR(Painel!$C$6),1,IF(W1=YEAR(Painel!$C$6),MONTH(Painel!$C$6)/12,0))</f>
        <v>1</v>
      </c>
      <c r="X3" s="152">
        <f>IF(X1&lt;YEAR(Painel!$C$6),1,IF(X1=YEAR(Painel!$C$6),MONTH(Painel!$C$6)/12,0))</f>
        <v>1</v>
      </c>
      <c r="Y3" s="152">
        <f>IF(Y1&lt;YEAR(Painel!$C$6),1,IF(Y1=YEAR(Painel!$C$6),MONTH(Painel!$C$6)/12,0))</f>
        <v>1</v>
      </c>
      <c r="Z3" s="152">
        <f>IF(Z1&lt;YEAR(Painel!$C$6),1,IF(Z1=YEAR(Painel!$C$6),MONTH(Painel!$C$6)/12,0))</f>
        <v>1</v>
      </c>
      <c r="AA3" s="152">
        <f>IF(AA1&lt;YEAR(Painel!$C$6),1,IF(AA1=YEAR(Painel!$C$6),MONTH(Painel!$C$6)/12,0))</f>
        <v>1</v>
      </c>
      <c r="AB3" s="152">
        <f>IF(AB1&lt;YEAR(Painel!$C$6),1,IF(AB1=YEAR(Painel!$C$6),MONTH(Painel!$C$6)/12,0))</f>
        <v>1</v>
      </c>
      <c r="AC3" s="152">
        <f>IF(AC1&lt;YEAR(Painel!$C$6),1,IF(AC1=YEAR(Painel!$C$6),MONTH(Painel!$C$6)/12,0))</f>
        <v>1</v>
      </c>
      <c r="AD3" s="152">
        <f>IF(AD1&lt;YEAR(Painel!$C$6),1,IF(AD1=YEAR(Painel!$C$6),MONTH(Painel!$C$6)/12,0))</f>
        <v>1</v>
      </c>
      <c r="AE3" s="152">
        <f>IF(AE1&lt;YEAR(Painel!$C$6),1,IF(AE1=YEAR(Painel!$C$6),MONTH(Painel!$C$6)/12,0))</f>
        <v>1</v>
      </c>
      <c r="AF3" s="152">
        <f>IF(AF1&lt;YEAR(Painel!$C$6),1,IF(AF1=YEAR(Painel!$C$6),MONTH(Painel!$C$6)/12,0))</f>
        <v>1</v>
      </c>
      <c r="AG3" s="152">
        <f>IF(AG1&lt;YEAR(Painel!$C$6),1,IF(AG1=YEAR(Painel!$C$6),MONTH(Painel!$C$6)/12,0))</f>
        <v>1</v>
      </c>
      <c r="AH3" s="152">
        <f>IF(AH1&lt;YEAR(Painel!$C$6),1,IF(AH1=YEAR(Painel!$C$6),MONTH(Painel!$C$6)/12,0))</f>
        <v>1</v>
      </c>
      <c r="AI3" s="152">
        <f>IF(AI1&lt;YEAR(Painel!$C$6),1,IF(AI1=YEAR(Painel!$C$6),MONTH(Painel!$C$6)/12,0))</f>
        <v>0</v>
      </c>
      <c r="AJ3" s="152">
        <f>IF(AJ1&lt;YEAR(Painel!$C$6),1,IF(AJ1=YEAR(Painel!$C$6),MONTH(Painel!$C$6)/12,0))</f>
        <v>0</v>
      </c>
      <c r="AK3" s="152">
        <f>IF(AK1&lt;YEAR(Painel!$C$6),1,IF(AK1=YEAR(Painel!$C$6),MONTH(Painel!$C$6)/12,0))</f>
        <v>0</v>
      </c>
      <c r="AL3" s="152">
        <f>IF(AL1&lt;YEAR(Painel!$C$6),1,IF(AL1=YEAR(Painel!$C$6),MONTH(Painel!$C$6)/12,0))</f>
        <v>0</v>
      </c>
      <c r="AM3" s="152">
        <f>IF(AM1&lt;YEAR(Painel!$C$6),1,IF(AM1=YEAR(Painel!$C$6),MONTH(Painel!$C$6)/12,0))</f>
        <v>0</v>
      </c>
      <c r="AN3" s="152">
        <f>IF(AN1&lt;YEAR(Painel!$C$6),1,IF(AN1=YEAR(Painel!$C$6),MONTH(Painel!$C$6)/12,0))</f>
        <v>0</v>
      </c>
    </row>
    <row r="4" spans="1:59" ht="12.75" customHeight="1">
      <c r="A4" s="27"/>
      <c r="B4" s="27"/>
      <c r="C4" s="27"/>
      <c r="D4" s="28"/>
      <c r="E4" s="28"/>
      <c r="F4" s="29"/>
      <c r="G4" s="29"/>
      <c r="H4" s="29"/>
      <c r="I4" s="30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</row>
    <row r="5" spans="1:59" ht="12.75" customHeight="1">
      <c r="A5" s="617" t="s">
        <v>129</v>
      </c>
      <c r="B5" s="617"/>
      <c r="C5" s="617"/>
      <c r="D5" s="618">
        <f>SUM(D6:D7)</f>
        <v>404767.11002503935</v>
      </c>
      <c r="E5" s="619">
        <f>E6+E7</f>
        <v>8408.8060465005274</v>
      </c>
      <c r="F5" s="619">
        <f t="shared" ref="F5:AN5" si="1">F6+F7</f>
        <v>12691.548526090954</v>
      </c>
      <c r="G5" s="619">
        <f t="shared" si="1"/>
        <v>13250.627427234751</v>
      </c>
      <c r="H5" s="619">
        <f t="shared" si="1"/>
        <v>13283.112967897392</v>
      </c>
      <c r="I5" s="619">
        <f t="shared" si="1"/>
        <v>13315.708959398286</v>
      </c>
      <c r="J5" s="619">
        <f t="shared" si="1"/>
        <v>13348.415777270284</v>
      </c>
      <c r="K5" s="619">
        <f t="shared" si="1"/>
        <v>13381.233798323046</v>
      </c>
      <c r="L5" s="619">
        <f t="shared" si="1"/>
        <v>13414.163400647387</v>
      </c>
      <c r="M5" s="619">
        <f t="shared" si="1"/>
        <v>13447.20496361963</v>
      </c>
      <c r="N5" s="619">
        <f t="shared" si="1"/>
        <v>13480.358867905978</v>
      </c>
      <c r="O5" s="619">
        <f t="shared" si="1"/>
        <v>13513.625495466902</v>
      </c>
      <c r="P5" s="619">
        <f t="shared" si="1"/>
        <v>13547.005229561531</v>
      </c>
      <c r="Q5" s="619">
        <f t="shared" si="1"/>
        <v>13580.498454752083</v>
      </c>
      <c r="R5" s="619">
        <f t="shared" si="1"/>
        <v>13614.105556908286</v>
      </c>
      <c r="S5" s="619">
        <f t="shared" si="1"/>
        <v>13647.826923211813</v>
      </c>
      <c r="T5" s="619">
        <f t="shared" si="1"/>
        <v>13681.662942160776</v>
      </c>
      <c r="U5" s="619">
        <f t="shared" si="1"/>
        <v>13715.614003574166</v>
      </c>
      <c r="V5" s="619">
        <f t="shared" si="1"/>
        <v>13749.680498596363</v>
      </c>
      <c r="W5" s="619">
        <f t="shared" si="1"/>
        <v>13783.862819701633</v>
      </c>
      <c r="X5" s="619">
        <f t="shared" si="1"/>
        <v>13818.161360698658</v>
      </c>
      <c r="Y5" s="619">
        <f t="shared" si="1"/>
        <v>13852.576516735078</v>
      </c>
      <c r="Z5" s="619">
        <f t="shared" si="1"/>
        <v>13887.10868430202</v>
      </c>
      <c r="AA5" s="619">
        <f t="shared" si="1"/>
        <v>13921.758261238689</v>
      </c>
      <c r="AB5" s="619">
        <f t="shared" si="1"/>
        <v>13956.525646736944</v>
      </c>
      <c r="AC5" s="619">
        <f t="shared" si="1"/>
        <v>13991.41124134589</v>
      </c>
      <c r="AD5" s="619">
        <f t="shared" si="1"/>
        <v>14026.415446976511</v>
      </c>
      <c r="AE5" s="619">
        <f t="shared" si="1"/>
        <v>14061.538666906272</v>
      </c>
      <c r="AF5" s="619">
        <f t="shared" si="1"/>
        <v>14096.781305783796</v>
      </c>
      <c r="AG5" s="619">
        <f t="shared" si="1"/>
        <v>14132.1437696335</v>
      </c>
      <c r="AH5" s="619">
        <f t="shared" si="1"/>
        <v>14167.6264658603</v>
      </c>
      <c r="AI5" s="619">
        <f t="shared" si="1"/>
        <v>0</v>
      </c>
      <c r="AJ5" s="619">
        <f t="shared" si="1"/>
        <v>0</v>
      </c>
      <c r="AK5" s="619">
        <f t="shared" si="1"/>
        <v>0</v>
      </c>
      <c r="AL5" s="619">
        <f t="shared" si="1"/>
        <v>0</v>
      </c>
      <c r="AM5" s="619">
        <f t="shared" si="1"/>
        <v>0</v>
      </c>
      <c r="AN5" s="619">
        <f t="shared" si="1"/>
        <v>0</v>
      </c>
    </row>
    <row r="6" spans="1:59" ht="12.75" customHeight="1">
      <c r="A6" s="39" t="s">
        <v>62</v>
      </c>
      <c r="B6" s="32"/>
      <c r="C6" s="32"/>
      <c r="D6" s="33">
        <f t="shared" ref="D6:D11" si="2">SUM(E6:AN6)</f>
        <v>5555.7191074569046</v>
      </c>
      <c r="E6" s="33">
        <f>Receitas!E14</f>
        <v>2777.8595537284523</v>
      </c>
      <c r="F6" s="33">
        <f>Receitas!F14</f>
        <v>2777.8595537284523</v>
      </c>
      <c r="G6" s="33">
        <f>Receitas!G14/1000</f>
        <v>0</v>
      </c>
      <c r="H6" s="33">
        <f>Receitas!H14/1000</f>
        <v>0</v>
      </c>
      <c r="I6" s="33">
        <f>Receitas!I14/1000</f>
        <v>0</v>
      </c>
      <c r="J6" s="33">
        <f>Receitas!J14/1000</f>
        <v>0</v>
      </c>
      <c r="K6" s="33">
        <f>Receitas!K14/1000</f>
        <v>0</v>
      </c>
      <c r="L6" s="33">
        <f>Receitas!L14/1000</f>
        <v>0</v>
      </c>
      <c r="M6" s="33">
        <f>Receitas!M14/1000</f>
        <v>0</v>
      </c>
      <c r="N6" s="33">
        <f>Receitas!N14/1000</f>
        <v>0</v>
      </c>
      <c r="O6" s="33">
        <f>Receitas!O14/1000</f>
        <v>0</v>
      </c>
      <c r="P6" s="33">
        <f>Receitas!P14/1000</f>
        <v>0</v>
      </c>
      <c r="Q6" s="33">
        <f>Receitas!Q14/1000</f>
        <v>0</v>
      </c>
      <c r="R6" s="33">
        <f>Receitas!R14/1000</f>
        <v>0</v>
      </c>
      <c r="S6" s="33">
        <f>Receitas!S14/1000</f>
        <v>0</v>
      </c>
      <c r="T6" s="33">
        <f>Receitas!T14/1000</f>
        <v>0</v>
      </c>
      <c r="U6" s="33">
        <f>Receitas!U14/1000</f>
        <v>0</v>
      </c>
      <c r="V6" s="33">
        <f>Receitas!V14/1000</f>
        <v>0</v>
      </c>
      <c r="W6" s="33">
        <f>Receitas!W14/1000</f>
        <v>0</v>
      </c>
      <c r="X6" s="33">
        <f>Receitas!X14/1000</f>
        <v>0</v>
      </c>
      <c r="Y6" s="33">
        <f>Receitas!Y14/1000</f>
        <v>0</v>
      </c>
      <c r="Z6" s="33">
        <f>Receitas!Z14/1000</f>
        <v>0</v>
      </c>
      <c r="AA6" s="33">
        <f>Receitas!AA14/1000</f>
        <v>0</v>
      </c>
      <c r="AB6" s="33">
        <f>Receitas!AB14/1000</f>
        <v>0</v>
      </c>
      <c r="AC6" s="33">
        <f>Receitas!AC14/1000</f>
        <v>0</v>
      </c>
      <c r="AD6" s="33">
        <f>Receitas!AD14/1000</f>
        <v>0</v>
      </c>
      <c r="AE6" s="33">
        <f>Receitas!AE14/1000</f>
        <v>0</v>
      </c>
      <c r="AF6" s="33">
        <f>Receitas!AF14/1000</f>
        <v>0</v>
      </c>
      <c r="AG6" s="33">
        <f>Receitas!AG14/1000</f>
        <v>0</v>
      </c>
      <c r="AH6" s="33">
        <f>Receitas!AH14/1000</f>
        <v>0</v>
      </c>
      <c r="AI6" s="33">
        <f>Receitas!AI14/1000</f>
        <v>0</v>
      </c>
      <c r="AJ6" s="33">
        <f>Receitas!AJ14/1000</f>
        <v>0</v>
      </c>
      <c r="AK6" s="33">
        <f>Receitas!AK14/1000</f>
        <v>0</v>
      </c>
      <c r="AL6" s="33">
        <f>Receitas!AL14/1000</f>
        <v>0</v>
      </c>
      <c r="AM6" s="33">
        <f>Receitas!AM14/1000</f>
        <v>0</v>
      </c>
      <c r="AN6" s="33">
        <f>Receitas!AN14/1000</f>
        <v>0</v>
      </c>
      <c r="AO6" s="33">
        <v>0</v>
      </c>
      <c r="AP6" s="33">
        <v>0</v>
      </c>
      <c r="AQ6" s="33">
        <v>0</v>
      </c>
      <c r="AR6" s="33">
        <v>0</v>
      </c>
      <c r="AS6" s="33">
        <v>0</v>
      </c>
      <c r="AT6" s="33">
        <v>0</v>
      </c>
      <c r="AU6" s="33">
        <v>0</v>
      </c>
      <c r="AV6" s="33">
        <v>0</v>
      </c>
      <c r="AW6" s="33">
        <v>0</v>
      </c>
      <c r="AX6" s="33">
        <v>0</v>
      </c>
      <c r="AY6" s="33">
        <v>0</v>
      </c>
      <c r="AZ6" s="33">
        <v>0</v>
      </c>
      <c r="BA6" s="33">
        <v>0</v>
      </c>
      <c r="BB6" s="33">
        <v>0</v>
      </c>
      <c r="BC6" s="33">
        <v>0</v>
      </c>
      <c r="BD6" s="33">
        <v>0</v>
      </c>
      <c r="BE6" s="33">
        <v>0</v>
      </c>
      <c r="BF6" s="33">
        <v>0</v>
      </c>
      <c r="BG6" s="33">
        <v>0</v>
      </c>
    </row>
    <row r="7" spans="1:59" ht="12.75" customHeight="1">
      <c r="A7" s="39" t="s">
        <v>130</v>
      </c>
      <c r="B7" s="35"/>
      <c r="C7" s="35"/>
      <c r="D7" s="33">
        <f t="shared" si="2"/>
        <v>399211.39091758244</v>
      </c>
      <c r="E7" s="33">
        <f>Receitas!E7</f>
        <v>5630.9464927720746</v>
      </c>
      <c r="F7" s="33">
        <f>Receitas!F7</f>
        <v>9913.6889723625009</v>
      </c>
      <c r="G7" s="33">
        <f>Receitas!G7</f>
        <v>13250.627427234751</v>
      </c>
      <c r="H7" s="33">
        <f>Receitas!H7</f>
        <v>13283.112967897392</v>
      </c>
      <c r="I7" s="33">
        <f>Receitas!I7</f>
        <v>13315.708959398286</v>
      </c>
      <c r="J7" s="33">
        <f>Receitas!J7</f>
        <v>13348.415777270284</v>
      </c>
      <c r="K7" s="33">
        <f>Receitas!K7</f>
        <v>13381.233798323046</v>
      </c>
      <c r="L7" s="33">
        <f>Receitas!L7</f>
        <v>13414.163400647387</v>
      </c>
      <c r="M7" s="33">
        <f>Receitas!M7</f>
        <v>13447.20496361963</v>
      </c>
      <c r="N7" s="33">
        <f>Receitas!N7</f>
        <v>13480.358867905978</v>
      </c>
      <c r="O7" s="33">
        <f>Receitas!O7</f>
        <v>13513.625495466902</v>
      </c>
      <c r="P7" s="33">
        <f>Receitas!P7</f>
        <v>13547.005229561531</v>
      </c>
      <c r="Q7" s="33">
        <f>Receitas!Q7</f>
        <v>13580.498454752083</v>
      </c>
      <c r="R7" s="33">
        <f>Receitas!R7</f>
        <v>13614.105556908286</v>
      </c>
      <c r="S7" s="33">
        <f>Receitas!S7</f>
        <v>13647.826923211813</v>
      </c>
      <c r="T7" s="33">
        <f>Receitas!T7</f>
        <v>13681.662942160776</v>
      </c>
      <c r="U7" s="33">
        <f>Receitas!U7</f>
        <v>13715.614003574166</v>
      </c>
      <c r="V7" s="33">
        <f>Receitas!V7</f>
        <v>13749.680498596363</v>
      </c>
      <c r="W7" s="33">
        <f>Receitas!W7</f>
        <v>13783.862819701633</v>
      </c>
      <c r="X7" s="33">
        <f>Receitas!X7</f>
        <v>13818.161360698658</v>
      </c>
      <c r="Y7" s="33">
        <f>Receitas!Y7</f>
        <v>13852.576516735078</v>
      </c>
      <c r="Z7" s="33">
        <f>Receitas!Z7</f>
        <v>13887.10868430202</v>
      </c>
      <c r="AA7" s="33">
        <f>Receitas!AA7</f>
        <v>13921.758261238689</v>
      </c>
      <c r="AB7" s="33">
        <f>Receitas!AB7</f>
        <v>13956.525646736944</v>
      </c>
      <c r="AC7" s="33">
        <f>Receitas!AC7</f>
        <v>13991.41124134589</v>
      </c>
      <c r="AD7" s="33">
        <f>Receitas!AD7</f>
        <v>14026.415446976511</v>
      </c>
      <c r="AE7" s="33">
        <f>Receitas!AE7</f>
        <v>14061.538666906272</v>
      </c>
      <c r="AF7" s="33">
        <f>Receitas!AF7</f>
        <v>14096.781305783796</v>
      </c>
      <c r="AG7" s="33">
        <f>Receitas!AG7</f>
        <v>14132.1437696335</v>
      </c>
      <c r="AH7" s="33">
        <f>Receitas!AH7</f>
        <v>14167.6264658603</v>
      </c>
      <c r="AI7" s="33">
        <f>Receitas!AI7</f>
        <v>0</v>
      </c>
      <c r="AJ7" s="33">
        <f>Receitas!AJ7</f>
        <v>0</v>
      </c>
      <c r="AK7" s="33">
        <f>Receitas!AK7</f>
        <v>0</v>
      </c>
      <c r="AL7" s="33">
        <f>Receitas!AL7</f>
        <v>0</v>
      </c>
      <c r="AM7" s="33">
        <f>Receitas!AM7</f>
        <v>0</v>
      </c>
      <c r="AN7" s="33">
        <f>Receitas!AN7</f>
        <v>0</v>
      </c>
    </row>
    <row r="8" spans="1:59" ht="12.75" customHeight="1">
      <c r="A8" s="39"/>
      <c r="B8" s="32"/>
      <c r="C8" s="32"/>
      <c r="D8" s="33">
        <f t="shared" si="2"/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</row>
    <row r="9" spans="1:59" ht="12.75" customHeight="1">
      <c r="A9" s="617" t="s">
        <v>131</v>
      </c>
      <c r="B9" s="617"/>
      <c r="C9" s="617"/>
      <c r="D9" s="618">
        <f t="shared" si="2"/>
        <v>-34531.785314370893</v>
      </c>
      <c r="E9" s="619">
        <f t="shared" ref="E9:AN9" si="3">E10+E18</f>
        <v>-487.07687162478447</v>
      </c>
      <c r="F9" s="619">
        <f t="shared" si="3"/>
        <v>-857.53409610935637</v>
      </c>
      <c r="G9" s="619">
        <f t="shared" si="3"/>
        <v>-1146.1792724558059</v>
      </c>
      <c r="H9" s="619">
        <f t="shared" si="3"/>
        <v>-1148.9892717231246</v>
      </c>
      <c r="I9" s="619">
        <f t="shared" si="3"/>
        <v>-1151.8088249879518</v>
      </c>
      <c r="J9" s="619">
        <f t="shared" si="3"/>
        <v>-1154.6379647338795</v>
      </c>
      <c r="K9" s="619">
        <f t="shared" si="3"/>
        <v>-1157.4767235549434</v>
      </c>
      <c r="L9" s="619">
        <f t="shared" si="3"/>
        <v>-1160.325134155999</v>
      </c>
      <c r="M9" s="619">
        <f t="shared" si="3"/>
        <v>-1163.1832293530979</v>
      </c>
      <c r="N9" s="619">
        <f t="shared" si="3"/>
        <v>-1166.0510420738672</v>
      </c>
      <c r="O9" s="619">
        <f t="shared" si="3"/>
        <v>-1168.9286053578871</v>
      </c>
      <c r="P9" s="619">
        <f t="shared" si="3"/>
        <v>-1171.8159523570725</v>
      </c>
      <c r="Q9" s="619">
        <f t="shared" si="3"/>
        <v>-1174.7131163360552</v>
      </c>
      <c r="R9" s="619">
        <f t="shared" si="3"/>
        <v>-1177.6201306725668</v>
      </c>
      <c r="S9" s="619">
        <f t="shared" si="3"/>
        <v>-1180.537028857822</v>
      </c>
      <c r="T9" s="619">
        <f t="shared" si="3"/>
        <v>-1183.4638444969071</v>
      </c>
      <c r="U9" s="619">
        <f t="shared" si="3"/>
        <v>-1186.4006113091655</v>
      </c>
      <c r="V9" s="619">
        <f t="shared" si="3"/>
        <v>-1189.3473631285854</v>
      </c>
      <c r="W9" s="619">
        <f t="shared" si="3"/>
        <v>-1192.3041339041913</v>
      </c>
      <c r="X9" s="619">
        <f t="shared" si="3"/>
        <v>-1195.2709577004339</v>
      </c>
      <c r="Y9" s="619">
        <f t="shared" si="3"/>
        <v>-1198.2478686975844</v>
      </c>
      <c r="Z9" s="619">
        <f t="shared" si="3"/>
        <v>-1201.2349011921247</v>
      </c>
      <c r="AA9" s="619">
        <f t="shared" si="3"/>
        <v>-1204.2320895971466</v>
      </c>
      <c r="AB9" s="619">
        <f t="shared" si="3"/>
        <v>-1207.2394684427456</v>
      </c>
      <c r="AC9" s="619">
        <f t="shared" si="3"/>
        <v>-1210.2570723764195</v>
      </c>
      <c r="AD9" s="619">
        <f t="shared" si="3"/>
        <v>-1213.2849361634683</v>
      </c>
      <c r="AE9" s="619">
        <f t="shared" si="3"/>
        <v>-1216.3230946873925</v>
      </c>
      <c r="AF9" s="619">
        <f t="shared" si="3"/>
        <v>-1219.3715829502985</v>
      </c>
      <c r="AG9" s="619">
        <f t="shared" si="3"/>
        <v>-1222.4304360732976</v>
      </c>
      <c r="AH9" s="619">
        <f t="shared" si="3"/>
        <v>-1225.4996892969161</v>
      </c>
      <c r="AI9" s="619">
        <f t="shared" si="3"/>
        <v>0</v>
      </c>
      <c r="AJ9" s="619">
        <f t="shared" si="3"/>
        <v>0</v>
      </c>
      <c r="AK9" s="619">
        <f t="shared" si="3"/>
        <v>0</v>
      </c>
      <c r="AL9" s="619">
        <f t="shared" si="3"/>
        <v>0</v>
      </c>
      <c r="AM9" s="619">
        <f t="shared" si="3"/>
        <v>0</v>
      </c>
      <c r="AN9" s="619">
        <f t="shared" si="3"/>
        <v>0</v>
      </c>
    </row>
    <row r="10" spans="1:59" ht="12.75" customHeight="1">
      <c r="A10" s="31" t="s">
        <v>113</v>
      </c>
      <c r="B10" s="32"/>
      <c r="C10" s="32"/>
      <c r="D10" s="33">
        <f t="shared" si="2"/>
        <v>-34531.785314370893</v>
      </c>
      <c r="E10" s="34">
        <f t="shared" ref="E10:AN10" si="4">SUM(E11,E13,E15)</f>
        <v>-487.07687162478447</v>
      </c>
      <c r="F10" s="34">
        <f t="shared" si="4"/>
        <v>-857.53409610935637</v>
      </c>
      <c r="G10" s="34">
        <f t="shared" si="4"/>
        <v>-1146.1792724558059</v>
      </c>
      <c r="H10" s="34">
        <f t="shared" si="4"/>
        <v>-1148.9892717231246</v>
      </c>
      <c r="I10" s="34">
        <f t="shared" si="4"/>
        <v>-1151.8088249879518</v>
      </c>
      <c r="J10" s="34">
        <f t="shared" si="4"/>
        <v>-1154.6379647338795</v>
      </c>
      <c r="K10" s="34">
        <f t="shared" si="4"/>
        <v>-1157.4767235549434</v>
      </c>
      <c r="L10" s="34">
        <f t="shared" si="4"/>
        <v>-1160.325134155999</v>
      </c>
      <c r="M10" s="34">
        <f t="shared" si="4"/>
        <v>-1163.1832293530979</v>
      </c>
      <c r="N10" s="34">
        <f t="shared" si="4"/>
        <v>-1166.0510420738672</v>
      </c>
      <c r="O10" s="34">
        <f t="shared" si="4"/>
        <v>-1168.9286053578871</v>
      </c>
      <c r="P10" s="34">
        <f t="shared" si="4"/>
        <v>-1171.8159523570725</v>
      </c>
      <c r="Q10" s="34">
        <f t="shared" si="4"/>
        <v>-1174.7131163360552</v>
      </c>
      <c r="R10" s="34">
        <f t="shared" si="4"/>
        <v>-1177.6201306725668</v>
      </c>
      <c r="S10" s="34">
        <f t="shared" si="4"/>
        <v>-1180.537028857822</v>
      </c>
      <c r="T10" s="34">
        <f t="shared" si="4"/>
        <v>-1183.4638444969071</v>
      </c>
      <c r="U10" s="34">
        <f t="shared" si="4"/>
        <v>-1186.4006113091655</v>
      </c>
      <c r="V10" s="34">
        <f t="shared" si="4"/>
        <v>-1189.3473631285854</v>
      </c>
      <c r="W10" s="34">
        <f t="shared" si="4"/>
        <v>-1192.3041339041913</v>
      </c>
      <c r="X10" s="34">
        <f t="shared" si="4"/>
        <v>-1195.2709577004339</v>
      </c>
      <c r="Y10" s="34">
        <f t="shared" si="4"/>
        <v>-1198.2478686975844</v>
      </c>
      <c r="Z10" s="34">
        <f t="shared" si="4"/>
        <v>-1201.2349011921247</v>
      </c>
      <c r="AA10" s="34">
        <f t="shared" si="4"/>
        <v>-1204.2320895971466</v>
      </c>
      <c r="AB10" s="34">
        <f t="shared" si="4"/>
        <v>-1207.2394684427456</v>
      </c>
      <c r="AC10" s="34">
        <f t="shared" si="4"/>
        <v>-1210.2570723764195</v>
      </c>
      <c r="AD10" s="34">
        <f t="shared" si="4"/>
        <v>-1213.2849361634683</v>
      </c>
      <c r="AE10" s="34">
        <f t="shared" si="4"/>
        <v>-1216.3230946873925</v>
      </c>
      <c r="AF10" s="34">
        <f t="shared" si="4"/>
        <v>-1219.3715829502985</v>
      </c>
      <c r="AG10" s="34">
        <f t="shared" si="4"/>
        <v>-1222.4304360732976</v>
      </c>
      <c r="AH10" s="34">
        <f t="shared" si="4"/>
        <v>-1225.4996892969161</v>
      </c>
      <c r="AI10" s="34">
        <f t="shared" si="4"/>
        <v>0</v>
      </c>
      <c r="AJ10" s="34">
        <f t="shared" si="4"/>
        <v>0</v>
      </c>
      <c r="AK10" s="34">
        <f t="shared" si="4"/>
        <v>0</v>
      </c>
      <c r="AL10" s="34">
        <f t="shared" si="4"/>
        <v>0</v>
      </c>
      <c r="AM10" s="34">
        <f t="shared" si="4"/>
        <v>0</v>
      </c>
      <c r="AN10" s="34">
        <f t="shared" si="4"/>
        <v>0</v>
      </c>
    </row>
    <row r="11" spans="1:59" ht="12.75" customHeight="1">
      <c r="A11" s="39" t="s">
        <v>85</v>
      </c>
      <c r="B11" s="35"/>
      <c r="C11" s="35"/>
      <c r="D11" s="33">
        <f t="shared" si="2"/>
        <v>-2594.874040964286</v>
      </c>
      <c r="E11" s="40">
        <f>Tributos!E10</f>
        <v>-36.601152203018486</v>
      </c>
      <c r="F11" s="40">
        <f>Tributos!F10</f>
        <v>-64.438978320356256</v>
      </c>
      <c r="G11" s="40">
        <f>Tributos!G10</f>
        <v>-86.129078277025883</v>
      </c>
      <c r="H11" s="40">
        <f>Tributos!H10</f>
        <v>-86.340234291333061</v>
      </c>
      <c r="I11" s="40">
        <f>Tributos!I10</f>
        <v>-86.55210823608887</v>
      </c>
      <c r="J11" s="40">
        <f>Tributos!J10</f>
        <v>-86.76470255225685</v>
      </c>
      <c r="K11" s="40">
        <f>Tributos!K10</f>
        <v>-86.97801968909981</v>
      </c>
      <c r="L11" s="40">
        <f>Tributos!L10</f>
        <v>-87.19206210420802</v>
      </c>
      <c r="M11" s="40">
        <f>Tributos!M10</f>
        <v>-87.406832263527605</v>
      </c>
      <c r="N11" s="40">
        <f>Tributos!N10</f>
        <v>-87.622332641388866</v>
      </c>
      <c r="O11" s="40">
        <f>Tributos!O10</f>
        <v>-87.838565720534874</v>
      </c>
      <c r="P11" s="40">
        <f>Tributos!P10</f>
        <v>-88.055533992149961</v>
      </c>
      <c r="Q11" s="40">
        <f>Tributos!Q10</f>
        <v>-88.273239955888556</v>
      </c>
      <c r="R11" s="40">
        <f>Tributos!R10</f>
        <v>-88.491686119903861</v>
      </c>
      <c r="S11" s="40">
        <f>Tributos!S10</f>
        <v>-88.710875000876797</v>
      </c>
      <c r="T11" s="40">
        <f>Tributos!T10</f>
        <v>-88.930809124045055</v>
      </c>
      <c r="U11" s="40">
        <f>Tributos!U10</f>
        <v>-89.151491023232083</v>
      </c>
      <c r="V11" s="40">
        <f>Tributos!V10</f>
        <v>-89.372923240876361</v>
      </c>
      <c r="W11" s="40">
        <f>Tributos!W10</f>
        <v>-89.595108328060618</v>
      </c>
      <c r="X11" s="40">
        <f>Tributos!X10</f>
        <v>-89.818048844541281</v>
      </c>
      <c r="Y11" s="40">
        <f>Tributos!Y10</f>
        <v>-90.041747358778011</v>
      </c>
      <c r="Z11" s="40">
        <f>Tributos!Z10</f>
        <v>-90.266206447963143</v>
      </c>
      <c r="AA11" s="40">
        <f>Tributos!AA10</f>
        <v>-90.491428698051479</v>
      </c>
      <c r="AB11" s="40">
        <f>Tributos!AB10</f>
        <v>-90.717416703790136</v>
      </c>
      <c r="AC11" s="40">
        <f>Tributos!AC10</f>
        <v>-90.944173068748285</v>
      </c>
      <c r="AD11" s="40">
        <f>Tributos!AD10</f>
        <v>-91.171700405347323</v>
      </c>
      <c r="AE11" s="40">
        <f>Tributos!AE10</f>
        <v>-91.400001334890774</v>
      </c>
      <c r="AF11" s="40">
        <f>Tributos!AF10</f>
        <v>-91.629078487594683</v>
      </c>
      <c r="AG11" s="40">
        <f>Tributos!AG10</f>
        <v>-91.858934502617757</v>
      </c>
      <c r="AH11" s="40">
        <f>Tributos!AH10</f>
        <v>-92.089572028091951</v>
      </c>
      <c r="AI11" s="40">
        <f>Tributos!AI10</f>
        <v>0</v>
      </c>
      <c r="AJ11" s="40">
        <f>Tributos!AJ10</f>
        <v>0</v>
      </c>
      <c r="AK11" s="40">
        <f>Tributos!AK10</f>
        <v>0</v>
      </c>
      <c r="AL11" s="40">
        <f>Tributos!AL10</f>
        <v>0</v>
      </c>
      <c r="AM11" s="40">
        <f>Tributos!AM10</f>
        <v>0</v>
      </c>
      <c r="AN11" s="40">
        <f>Tributos!AN10</f>
        <v>0</v>
      </c>
    </row>
    <row r="12" spans="1:59" ht="12.75" customHeight="1">
      <c r="A12" s="41" t="s">
        <v>132</v>
      </c>
      <c r="B12" s="42"/>
      <c r="C12" s="42"/>
      <c r="D12" s="43">
        <f t="shared" ref="D12:AN12" si="5">IF(D5,-D11/D5,0)</f>
        <v>6.4107828346126345E-3</v>
      </c>
      <c r="E12" s="43">
        <f t="shared" si="5"/>
        <v>4.3527169018544197E-3</v>
      </c>
      <c r="F12" s="43">
        <f t="shared" si="5"/>
        <v>5.0773141029941534E-3</v>
      </c>
      <c r="G12" s="43">
        <f t="shared" si="5"/>
        <v>6.5000000000000006E-3</v>
      </c>
      <c r="H12" s="43">
        <f t="shared" si="5"/>
        <v>6.5000000000000006E-3</v>
      </c>
      <c r="I12" s="43">
        <f t="shared" si="5"/>
        <v>6.5000000000000014E-3</v>
      </c>
      <c r="J12" s="43">
        <f t="shared" si="5"/>
        <v>6.5000000000000006E-3</v>
      </c>
      <c r="K12" s="43">
        <f t="shared" si="5"/>
        <v>6.5000000000000006E-3</v>
      </c>
      <c r="L12" s="43">
        <f t="shared" si="5"/>
        <v>6.5000000000000006E-3</v>
      </c>
      <c r="M12" s="43">
        <f t="shared" si="5"/>
        <v>6.5000000000000006E-3</v>
      </c>
      <c r="N12" s="43">
        <f t="shared" si="5"/>
        <v>6.5000000000000006E-3</v>
      </c>
      <c r="O12" s="43">
        <f t="shared" si="5"/>
        <v>6.5000000000000006E-3</v>
      </c>
      <c r="P12" s="43">
        <f t="shared" si="5"/>
        <v>6.5000000000000006E-3</v>
      </c>
      <c r="Q12" s="43">
        <f t="shared" si="5"/>
        <v>6.5000000000000006E-3</v>
      </c>
      <c r="R12" s="43">
        <f t="shared" si="5"/>
        <v>6.5000000000000006E-3</v>
      </c>
      <c r="S12" s="43">
        <f t="shared" si="5"/>
        <v>6.5000000000000014E-3</v>
      </c>
      <c r="T12" s="43">
        <f t="shared" si="5"/>
        <v>6.5000000000000006E-3</v>
      </c>
      <c r="U12" s="43">
        <f t="shared" si="5"/>
        <v>6.4999999999999997E-3</v>
      </c>
      <c r="V12" s="43">
        <f t="shared" si="5"/>
        <v>6.5000000000000006E-3</v>
      </c>
      <c r="W12" s="43">
        <f t="shared" si="5"/>
        <v>6.5000000000000006E-3</v>
      </c>
      <c r="X12" s="43">
        <f t="shared" si="5"/>
        <v>6.5000000000000006E-3</v>
      </c>
      <c r="Y12" s="43">
        <f t="shared" si="5"/>
        <v>6.5000000000000006E-3</v>
      </c>
      <c r="Z12" s="43">
        <f t="shared" si="5"/>
        <v>6.5000000000000006E-3</v>
      </c>
      <c r="AA12" s="43">
        <f t="shared" si="5"/>
        <v>6.5000000000000006E-3</v>
      </c>
      <c r="AB12" s="43">
        <f t="shared" si="5"/>
        <v>6.5000000000000006E-3</v>
      </c>
      <c r="AC12" s="43">
        <f t="shared" si="5"/>
        <v>6.4999999999999997E-3</v>
      </c>
      <c r="AD12" s="43">
        <f t="shared" si="5"/>
        <v>6.5000000000000006E-3</v>
      </c>
      <c r="AE12" s="43">
        <f t="shared" si="5"/>
        <v>6.5000000000000006E-3</v>
      </c>
      <c r="AF12" s="43">
        <f t="shared" si="5"/>
        <v>6.5000000000000006E-3</v>
      </c>
      <c r="AG12" s="43">
        <f t="shared" si="5"/>
        <v>6.5000000000000006E-3</v>
      </c>
      <c r="AH12" s="43">
        <f t="shared" si="5"/>
        <v>6.5000000000000006E-3</v>
      </c>
      <c r="AI12" s="43">
        <f t="shared" si="5"/>
        <v>0</v>
      </c>
      <c r="AJ12" s="43">
        <f t="shared" si="5"/>
        <v>0</v>
      </c>
      <c r="AK12" s="43">
        <f t="shared" si="5"/>
        <v>0</v>
      </c>
      <c r="AL12" s="43">
        <f t="shared" si="5"/>
        <v>0</v>
      </c>
      <c r="AM12" s="43">
        <f t="shared" si="5"/>
        <v>0</v>
      </c>
      <c r="AN12" s="43">
        <f t="shared" si="5"/>
        <v>0</v>
      </c>
    </row>
    <row r="13" spans="1:59" ht="12.75" customHeight="1">
      <c r="A13" s="39" t="s">
        <v>86</v>
      </c>
      <c r="B13" s="35"/>
      <c r="C13" s="35"/>
      <c r="D13" s="33">
        <f>SUM(E13:AN13)</f>
        <v>-11976.341727527475</v>
      </c>
      <c r="E13" s="40">
        <f>Tributos!E11</f>
        <v>-168.92839478316222</v>
      </c>
      <c r="F13" s="40">
        <f>Tributos!F11</f>
        <v>-297.410669170875</v>
      </c>
      <c r="G13" s="40">
        <f>Tributos!G11</f>
        <v>-397.51882281704252</v>
      </c>
      <c r="H13" s="40">
        <f>Tributos!H11</f>
        <v>-398.49338903692177</v>
      </c>
      <c r="I13" s="40">
        <f>Tributos!I11</f>
        <v>-399.47126878194854</v>
      </c>
      <c r="J13" s="40">
        <f>Tributos!J11</f>
        <v>-400.4524733181085</v>
      </c>
      <c r="K13" s="40">
        <f>Tributos!K11</f>
        <v>-401.43701394969139</v>
      </c>
      <c r="L13" s="40">
        <f>Tributos!L11</f>
        <v>-402.42490201942161</v>
      </c>
      <c r="M13" s="40">
        <f>Tributos!M11</f>
        <v>-403.41614890858887</v>
      </c>
      <c r="N13" s="40">
        <f>Tributos!N11</f>
        <v>-404.41076603717931</v>
      </c>
      <c r="O13" s="40">
        <f>Tributos!O11</f>
        <v>-405.40876486400703</v>
      </c>
      <c r="P13" s="40">
        <f>Tributos!P11</f>
        <v>-406.41015688684593</v>
      </c>
      <c r="Q13" s="40">
        <f>Tributos!Q11</f>
        <v>-407.41495364256247</v>
      </c>
      <c r="R13" s="40">
        <f>Tributos!R11</f>
        <v>-408.42316670724853</v>
      </c>
      <c r="S13" s="40">
        <f>Tributos!S11</f>
        <v>-409.43480769635437</v>
      </c>
      <c r="T13" s="40">
        <f>Tributos!T11</f>
        <v>-410.44988826482324</v>
      </c>
      <c r="U13" s="40">
        <f>Tributos!U11</f>
        <v>-411.46842010722497</v>
      </c>
      <c r="V13" s="40">
        <f>Tributos!V11</f>
        <v>-412.49041495789089</v>
      </c>
      <c r="W13" s="40">
        <f>Tributos!W11</f>
        <v>-413.51588459104897</v>
      </c>
      <c r="X13" s="40">
        <f>Tributos!X11</f>
        <v>-414.54484082095973</v>
      </c>
      <c r="Y13" s="40">
        <f>Tributos!Y11</f>
        <v>-415.57729550205232</v>
      </c>
      <c r="Z13" s="40">
        <f>Tributos!Z11</f>
        <v>-416.6132605290606</v>
      </c>
      <c r="AA13" s="40">
        <f>Tributos!AA11</f>
        <v>-417.65274783716063</v>
      </c>
      <c r="AB13" s="40">
        <f>Tributos!AB11</f>
        <v>-418.69576940210828</v>
      </c>
      <c r="AC13" s="40">
        <f>Tributos!AC11</f>
        <v>-419.74233724037668</v>
      </c>
      <c r="AD13" s="40">
        <f>Tributos!AD11</f>
        <v>-420.79246340929529</v>
      </c>
      <c r="AE13" s="40">
        <f>Tributos!AE11</f>
        <v>-421.84616000718813</v>
      </c>
      <c r="AF13" s="40">
        <f>Tributos!AF11</f>
        <v>-422.90343917351385</v>
      </c>
      <c r="AG13" s="40">
        <f>Tributos!AG11</f>
        <v>-423.96431308900497</v>
      </c>
      <c r="AH13" s="40">
        <f>Tributos!AH11</f>
        <v>-425.02879397580898</v>
      </c>
      <c r="AI13" s="40">
        <f>Tributos!AI11</f>
        <v>0</v>
      </c>
      <c r="AJ13" s="40">
        <f>Tributos!AJ11</f>
        <v>0</v>
      </c>
      <c r="AK13" s="40">
        <f>Tributos!AK11</f>
        <v>0</v>
      </c>
      <c r="AL13" s="40">
        <f>Tributos!AL11</f>
        <v>0</v>
      </c>
      <c r="AM13" s="40">
        <f>Tributos!AM11</f>
        <v>0</v>
      </c>
      <c r="AN13" s="40">
        <f>Tributos!AN11</f>
        <v>0</v>
      </c>
    </row>
    <row r="14" spans="1:59" ht="12.75" customHeight="1">
      <c r="A14" s="41" t="s">
        <v>132</v>
      </c>
      <c r="B14" s="42"/>
      <c r="C14" s="42"/>
      <c r="D14" s="43">
        <f t="shared" ref="D14:AN14" si="6">IF(D5,-D13/D5,0)</f>
        <v>2.9588228467442933E-2</v>
      </c>
      <c r="E14" s="43">
        <f t="shared" si="6"/>
        <v>2.0089462623943472E-2</v>
      </c>
      <c r="F14" s="43">
        <f t="shared" si="6"/>
        <v>2.3433757398434549E-2</v>
      </c>
      <c r="G14" s="43">
        <f t="shared" si="6"/>
        <v>0.03</v>
      </c>
      <c r="H14" s="43">
        <f t="shared" si="6"/>
        <v>0.03</v>
      </c>
      <c r="I14" s="43">
        <f t="shared" si="6"/>
        <v>0.03</v>
      </c>
      <c r="J14" s="43">
        <f t="shared" si="6"/>
        <v>0.03</v>
      </c>
      <c r="K14" s="43">
        <f t="shared" si="6"/>
        <v>0.03</v>
      </c>
      <c r="L14" s="43">
        <f t="shared" si="6"/>
        <v>0.03</v>
      </c>
      <c r="M14" s="43">
        <f t="shared" si="6"/>
        <v>0.03</v>
      </c>
      <c r="N14" s="43">
        <f t="shared" si="6"/>
        <v>0.03</v>
      </c>
      <c r="O14" s="43">
        <f t="shared" si="6"/>
        <v>0.03</v>
      </c>
      <c r="P14" s="43">
        <f t="shared" si="6"/>
        <v>0.03</v>
      </c>
      <c r="Q14" s="43">
        <f t="shared" si="6"/>
        <v>2.9999999999999995E-2</v>
      </c>
      <c r="R14" s="43">
        <f t="shared" si="6"/>
        <v>0.03</v>
      </c>
      <c r="S14" s="43">
        <f t="shared" si="6"/>
        <v>0.03</v>
      </c>
      <c r="T14" s="43">
        <f t="shared" si="6"/>
        <v>0.03</v>
      </c>
      <c r="U14" s="43">
        <f t="shared" si="6"/>
        <v>0.03</v>
      </c>
      <c r="V14" s="43">
        <f t="shared" si="6"/>
        <v>3.0000000000000002E-2</v>
      </c>
      <c r="W14" s="43">
        <f t="shared" si="6"/>
        <v>0.03</v>
      </c>
      <c r="X14" s="43">
        <f t="shared" si="6"/>
        <v>3.0000000000000002E-2</v>
      </c>
      <c r="Y14" s="43">
        <f t="shared" si="6"/>
        <v>0.03</v>
      </c>
      <c r="Z14" s="43">
        <f t="shared" si="6"/>
        <v>0.03</v>
      </c>
      <c r="AA14" s="43">
        <f t="shared" si="6"/>
        <v>0.03</v>
      </c>
      <c r="AB14" s="43">
        <f t="shared" si="6"/>
        <v>0.03</v>
      </c>
      <c r="AC14" s="43">
        <f t="shared" si="6"/>
        <v>0.03</v>
      </c>
      <c r="AD14" s="43">
        <f t="shared" si="6"/>
        <v>0.03</v>
      </c>
      <c r="AE14" s="43">
        <f t="shared" si="6"/>
        <v>0.03</v>
      </c>
      <c r="AF14" s="43">
        <f t="shared" si="6"/>
        <v>0.03</v>
      </c>
      <c r="AG14" s="43">
        <f t="shared" si="6"/>
        <v>0.03</v>
      </c>
      <c r="AH14" s="43">
        <f t="shared" si="6"/>
        <v>0.03</v>
      </c>
      <c r="AI14" s="43">
        <f t="shared" si="6"/>
        <v>0</v>
      </c>
      <c r="AJ14" s="43">
        <f t="shared" si="6"/>
        <v>0</v>
      </c>
      <c r="AK14" s="43">
        <f t="shared" si="6"/>
        <v>0</v>
      </c>
      <c r="AL14" s="43">
        <f t="shared" si="6"/>
        <v>0</v>
      </c>
      <c r="AM14" s="43">
        <f t="shared" si="6"/>
        <v>0</v>
      </c>
      <c r="AN14" s="43">
        <f t="shared" si="6"/>
        <v>0</v>
      </c>
    </row>
    <row r="15" spans="1:59" ht="12.75" customHeight="1">
      <c r="A15" s="39" t="s">
        <v>88</v>
      </c>
      <c r="B15" s="35"/>
      <c r="C15" s="35"/>
      <c r="D15" s="33">
        <f>SUM(E15:AN15)</f>
        <v>-19960.569545879127</v>
      </c>
      <c r="E15" s="40">
        <f>Tributos!E12</f>
        <v>-281.54732463860375</v>
      </c>
      <c r="F15" s="40">
        <f>Tributos!F12</f>
        <v>-495.68444861812509</v>
      </c>
      <c r="G15" s="40">
        <f>Tributos!G12</f>
        <v>-662.53137136173757</v>
      </c>
      <c r="H15" s="40">
        <f>Tributos!H12</f>
        <v>-664.15564839486967</v>
      </c>
      <c r="I15" s="40">
        <f>Tributos!I12</f>
        <v>-665.78544796991434</v>
      </c>
      <c r="J15" s="40">
        <f>Tributos!J12</f>
        <v>-667.42078886351419</v>
      </c>
      <c r="K15" s="40">
        <f>Tributos!K12</f>
        <v>-669.06168991615232</v>
      </c>
      <c r="L15" s="40">
        <f>Tributos!L12</f>
        <v>-670.70817003236937</v>
      </c>
      <c r="M15" s="40">
        <f>Tributos!M12</f>
        <v>-672.36024818098156</v>
      </c>
      <c r="N15" s="40">
        <f>Tributos!N12</f>
        <v>-674.01794339529897</v>
      </c>
      <c r="O15" s="40">
        <f>Tributos!O12</f>
        <v>-675.68127477334519</v>
      </c>
      <c r="P15" s="40">
        <f>Tributos!P12</f>
        <v>-677.35026147807662</v>
      </c>
      <c r="Q15" s="40">
        <f>Tributos!Q12</f>
        <v>-679.02492273760424</v>
      </c>
      <c r="R15" s="40">
        <f>Tributos!R12</f>
        <v>-680.70527784541434</v>
      </c>
      <c r="S15" s="40">
        <f>Tributos!S12</f>
        <v>-682.39134616059073</v>
      </c>
      <c r="T15" s="40">
        <f>Tributos!T12</f>
        <v>-684.08314710803882</v>
      </c>
      <c r="U15" s="40">
        <f>Tributos!U12</f>
        <v>-685.78070017870834</v>
      </c>
      <c r="V15" s="40">
        <f>Tributos!V12</f>
        <v>-687.48402492981813</v>
      </c>
      <c r="W15" s="40">
        <f>Tributos!W12</f>
        <v>-689.19314098508175</v>
      </c>
      <c r="X15" s="40">
        <f>Tributos!X12</f>
        <v>-690.90806803493297</v>
      </c>
      <c r="Y15" s="40">
        <f>Tributos!Y12</f>
        <v>-692.628825836754</v>
      </c>
      <c r="Z15" s="40">
        <f>Tributos!Z12</f>
        <v>-694.35543421510101</v>
      </c>
      <c r="AA15" s="40">
        <f>Tributos!AA12</f>
        <v>-696.0879130619345</v>
      </c>
      <c r="AB15" s="40">
        <f>Tributos!AB12</f>
        <v>-697.82628233684727</v>
      </c>
      <c r="AC15" s="40">
        <f>Tributos!AC12</f>
        <v>-699.57056206729453</v>
      </c>
      <c r="AD15" s="40">
        <f>Tributos!AD12</f>
        <v>-701.32077234882559</v>
      </c>
      <c r="AE15" s="40">
        <f>Tributos!AE12</f>
        <v>-703.07693334531359</v>
      </c>
      <c r="AF15" s="40">
        <f>Tributos!AF12</f>
        <v>-704.83906528918988</v>
      </c>
      <c r="AG15" s="40">
        <f>Tributos!AG12</f>
        <v>-706.60718848167505</v>
      </c>
      <c r="AH15" s="40">
        <f>Tributos!AH12</f>
        <v>-708.38132329301504</v>
      </c>
      <c r="AI15" s="40">
        <f>Tributos!AI12</f>
        <v>0</v>
      </c>
      <c r="AJ15" s="40">
        <f>Tributos!AJ12</f>
        <v>0</v>
      </c>
      <c r="AK15" s="40">
        <f>Tributos!AK12</f>
        <v>0</v>
      </c>
      <c r="AL15" s="40">
        <f>Tributos!AL12</f>
        <v>0</v>
      </c>
      <c r="AM15" s="40">
        <f>Tributos!AM12</f>
        <v>0</v>
      </c>
      <c r="AN15" s="40">
        <f>Tributos!AN12</f>
        <v>0</v>
      </c>
    </row>
    <row r="16" spans="1:59" ht="12.75" customHeight="1">
      <c r="A16" s="41" t="s">
        <v>132</v>
      </c>
      <c r="B16" s="42"/>
      <c r="C16" s="42"/>
      <c r="D16" s="43">
        <f t="shared" ref="D16:AN16" si="7">IF(D5,-D15/D5,0)</f>
        <v>4.9313714112404892E-2</v>
      </c>
      <c r="E16" s="43">
        <f t="shared" si="7"/>
        <v>3.3482437706572457E-2</v>
      </c>
      <c r="F16" s="43">
        <f t="shared" si="7"/>
        <v>3.9056262330724255E-2</v>
      </c>
      <c r="G16" s="43">
        <f t="shared" si="7"/>
        <v>0.05</v>
      </c>
      <c r="H16" s="43">
        <f t="shared" si="7"/>
        <v>0.05</v>
      </c>
      <c r="I16" s="43">
        <f t="shared" si="7"/>
        <v>0.05</v>
      </c>
      <c r="J16" s="43">
        <f t="shared" si="7"/>
        <v>0.05</v>
      </c>
      <c r="K16" s="43">
        <f t="shared" si="7"/>
        <v>0.05</v>
      </c>
      <c r="L16" s="43">
        <f t="shared" si="7"/>
        <v>0.05</v>
      </c>
      <c r="M16" s="43">
        <f t="shared" si="7"/>
        <v>0.05</v>
      </c>
      <c r="N16" s="43">
        <f t="shared" si="7"/>
        <v>5.000000000000001E-2</v>
      </c>
      <c r="O16" s="43">
        <f t="shared" si="7"/>
        <v>5.000000000000001E-2</v>
      </c>
      <c r="P16" s="43">
        <f t="shared" si="7"/>
        <v>0.05</v>
      </c>
      <c r="Q16" s="43">
        <f t="shared" si="7"/>
        <v>0.05</v>
      </c>
      <c r="R16" s="43">
        <f t="shared" si="7"/>
        <v>0.05</v>
      </c>
      <c r="S16" s="43">
        <f t="shared" si="7"/>
        <v>5.000000000000001E-2</v>
      </c>
      <c r="T16" s="43">
        <f t="shared" si="7"/>
        <v>0.05</v>
      </c>
      <c r="U16" s="43">
        <f t="shared" si="7"/>
        <v>0.05</v>
      </c>
      <c r="V16" s="43">
        <f t="shared" si="7"/>
        <v>0.05</v>
      </c>
      <c r="W16" s="43">
        <f t="shared" si="7"/>
        <v>5.000000000000001E-2</v>
      </c>
      <c r="X16" s="43">
        <f t="shared" si="7"/>
        <v>5.000000000000001E-2</v>
      </c>
      <c r="Y16" s="43">
        <f t="shared" si="7"/>
        <v>5.000000000000001E-2</v>
      </c>
      <c r="Z16" s="43">
        <f t="shared" si="7"/>
        <v>0.05</v>
      </c>
      <c r="AA16" s="43">
        <f t="shared" si="7"/>
        <v>0.05</v>
      </c>
      <c r="AB16" s="43">
        <f t="shared" si="7"/>
        <v>5.000000000000001E-2</v>
      </c>
      <c r="AC16" s="43">
        <f t="shared" si="7"/>
        <v>0.05</v>
      </c>
      <c r="AD16" s="43">
        <f t="shared" si="7"/>
        <v>0.05</v>
      </c>
      <c r="AE16" s="43">
        <f t="shared" si="7"/>
        <v>0.05</v>
      </c>
      <c r="AF16" s="43">
        <f t="shared" si="7"/>
        <v>5.000000000000001E-2</v>
      </c>
      <c r="AG16" s="43">
        <f t="shared" si="7"/>
        <v>0.05</v>
      </c>
      <c r="AH16" s="43">
        <f t="shared" si="7"/>
        <v>0.05</v>
      </c>
      <c r="AI16" s="43">
        <f t="shared" si="7"/>
        <v>0</v>
      </c>
      <c r="AJ16" s="43">
        <f t="shared" si="7"/>
        <v>0</v>
      </c>
      <c r="AK16" s="43">
        <f t="shared" si="7"/>
        <v>0</v>
      </c>
      <c r="AL16" s="43">
        <f t="shared" si="7"/>
        <v>0</v>
      </c>
      <c r="AM16" s="43">
        <f t="shared" si="7"/>
        <v>0</v>
      </c>
      <c r="AN16" s="43">
        <f t="shared" si="7"/>
        <v>0</v>
      </c>
    </row>
    <row r="18" spans="1:40" ht="12.75" customHeight="1">
      <c r="A18" s="31" t="s">
        <v>111</v>
      </c>
      <c r="B18" s="32"/>
      <c r="C18" s="32"/>
      <c r="D18" s="33">
        <f>SUM(E18:AN18)</f>
        <v>0</v>
      </c>
      <c r="E18" s="34">
        <f>-Receitas!E10</f>
        <v>0</v>
      </c>
      <c r="F18" s="34">
        <f>-Receitas!F10</f>
        <v>0</v>
      </c>
      <c r="G18" s="34">
        <f>-Receitas!G10</f>
        <v>0</v>
      </c>
      <c r="H18" s="34">
        <f>-Receitas!H10</f>
        <v>0</v>
      </c>
      <c r="I18" s="34">
        <f>-Receitas!I10</f>
        <v>0</v>
      </c>
      <c r="J18" s="34">
        <f>-Receitas!J10</f>
        <v>0</v>
      </c>
      <c r="K18" s="34">
        <f>-Receitas!K10</f>
        <v>0</v>
      </c>
      <c r="L18" s="34">
        <f>-Receitas!L10</f>
        <v>0</v>
      </c>
      <c r="M18" s="34">
        <f>-Receitas!M10</f>
        <v>0</v>
      </c>
      <c r="N18" s="34">
        <f>-Receitas!N10</f>
        <v>0</v>
      </c>
      <c r="O18" s="34">
        <f>-Receitas!O10</f>
        <v>0</v>
      </c>
      <c r="P18" s="34">
        <f>-Receitas!P10</f>
        <v>0</v>
      </c>
      <c r="Q18" s="34">
        <f>-Receitas!Q10</f>
        <v>0</v>
      </c>
      <c r="R18" s="34">
        <f>-Receitas!R10</f>
        <v>0</v>
      </c>
      <c r="S18" s="34">
        <f>-Receitas!S10</f>
        <v>0</v>
      </c>
      <c r="T18" s="34">
        <f>-Receitas!T10</f>
        <v>0</v>
      </c>
      <c r="U18" s="34">
        <f>-Receitas!U10</f>
        <v>0</v>
      </c>
      <c r="V18" s="34">
        <f>-Receitas!V10</f>
        <v>0</v>
      </c>
      <c r="W18" s="34">
        <f>-Receitas!W10</f>
        <v>0</v>
      </c>
      <c r="X18" s="34">
        <f>-Receitas!X10</f>
        <v>0</v>
      </c>
      <c r="Y18" s="34">
        <f>-Receitas!Y10</f>
        <v>0</v>
      </c>
      <c r="Z18" s="34">
        <f>-Receitas!Z10</f>
        <v>0</v>
      </c>
      <c r="AA18" s="34">
        <f>-Receitas!AA10</f>
        <v>0</v>
      </c>
      <c r="AB18" s="34">
        <f>-Receitas!AB10</f>
        <v>0</v>
      </c>
      <c r="AC18" s="34">
        <f>-Receitas!AC10</f>
        <v>0</v>
      </c>
      <c r="AD18" s="34">
        <f>-Receitas!AD10</f>
        <v>0</v>
      </c>
      <c r="AE18" s="34">
        <f>-Receitas!AE10</f>
        <v>0</v>
      </c>
      <c r="AF18" s="34">
        <f>-Receitas!AF10</f>
        <v>0</v>
      </c>
      <c r="AG18" s="34">
        <f>-Receitas!AG10</f>
        <v>0</v>
      </c>
      <c r="AH18" s="34">
        <f>-Receitas!AH10</f>
        <v>0</v>
      </c>
      <c r="AI18" s="34">
        <f>-Receitas!AI10</f>
        <v>0</v>
      </c>
      <c r="AJ18" s="34">
        <f>-Receitas!AJ10</f>
        <v>0</v>
      </c>
      <c r="AK18" s="34">
        <f>-Receitas!AK10</f>
        <v>0</v>
      </c>
      <c r="AL18" s="34">
        <f>-Receitas!AL10</f>
        <v>0</v>
      </c>
      <c r="AM18" s="34">
        <f>-Receitas!AM10</f>
        <v>0</v>
      </c>
      <c r="AN18" s="34">
        <f>-Receitas!AN10</f>
        <v>0</v>
      </c>
    </row>
    <row r="19" spans="1:40" ht="12.75" customHeight="1">
      <c r="A19" s="36"/>
      <c r="B19" s="32"/>
      <c r="C19" s="32"/>
      <c r="D19" s="37"/>
      <c r="E19" s="32"/>
      <c r="F19" s="44"/>
      <c r="G19" s="38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</row>
    <row r="20" spans="1:40" ht="12.75" customHeight="1">
      <c r="A20" s="617" t="s">
        <v>133</v>
      </c>
      <c r="B20" s="617"/>
      <c r="C20" s="617"/>
      <c r="D20" s="618">
        <f>SUM(E20:AN20)</f>
        <v>370235.32471066859</v>
      </c>
      <c r="E20" s="619">
        <f t="shared" ref="E20:AN20" si="8">E5+E9</f>
        <v>7921.7291748757425</v>
      </c>
      <c r="F20" s="619">
        <f t="shared" si="8"/>
        <v>11834.014429981597</v>
      </c>
      <c r="G20" s="619">
        <f t="shared" si="8"/>
        <v>12104.448154778946</v>
      </c>
      <c r="H20" s="619">
        <f t="shared" si="8"/>
        <v>12134.123696174267</v>
      </c>
      <c r="I20" s="619">
        <f t="shared" si="8"/>
        <v>12163.900134410334</v>
      </c>
      <c r="J20" s="619">
        <f t="shared" si="8"/>
        <v>12193.777812536404</v>
      </c>
      <c r="K20" s="619">
        <f t="shared" si="8"/>
        <v>12223.757074768102</v>
      </c>
      <c r="L20" s="619">
        <f t="shared" si="8"/>
        <v>12253.838266491388</v>
      </c>
      <c r="M20" s="619">
        <f t="shared" si="8"/>
        <v>12284.021734266531</v>
      </c>
      <c r="N20" s="619">
        <f t="shared" si="8"/>
        <v>12314.307825832111</v>
      </c>
      <c r="O20" s="619">
        <f t="shared" si="8"/>
        <v>12344.696890109015</v>
      </c>
      <c r="P20" s="619">
        <f t="shared" si="8"/>
        <v>12375.189277204459</v>
      </c>
      <c r="Q20" s="619">
        <f t="shared" si="8"/>
        <v>12405.785338416028</v>
      </c>
      <c r="R20" s="619">
        <f t="shared" si="8"/>
        <v>12436.485426235718</v>
      </c>
      <c r="S20" s="619">
        <f t="shared" si="8"/>
        <v>12467.289894353991</v>
      </c>
      <c r="T20" s="619">
        <f t="shared" si="8"/>
        <v>12498.199097663868</v>
      </c>
      <c r="U20" s="619">
        <f t="shared" si="8"/>
        <v>12529.213392265001</v>
      </c>
      <c r="V20" s="619">
        <f t="shared" si="8"/>
        <v>12560.333135467778</v>
      </c>
      <c r="W20" s="619">
        <f t="shared" si="8"/>
        <v>12591.558685797441</v>
      </c>
      <c r="X20" s="619">
        <f t="shared" si="8"/>
        <v>12622.890402998224</v>
      </c>
      <c r="Y20" s="619">
        <f t="shared" si="8"/>
        <v>12654.328648037494</v>
      </c>
      <c r="Z20" s="619">
        <f t="shared" si="8"/>
        <v>12685.873783109895</v>
      </c>
      <c r="AA20" s="619">
        <f t="shared" si="8"/>
        <v>12717.526171641543</v>
      </c>
      <c r="AB20" s="619">
        <f t="shared" si="8"/>
        <v>12749.286178294198</v>
      </c>
      <c r="AC20" s="619">
        <f t="shared" si="8"/>
        <v>12781.15416896947</v>
      </c>
      <c r="AD20" s="619">
        <f t="shared" si="8"/>
        <v>12813.130510813042</v>
      </c>
      <c r="AE20" s="619">
        <f t="shared" si="8"/>
        <v>12845.21557221888</v>
      </c>
      <c r="AF20" s="619">
        <f t="shared" si="8"/>
        <v>12877.409722833498</v>
      </c>
      <c r="AG20" s="619">
        <f t="shared" si="8"/>
        <v>12909.713333560201</v>
      </c>
      <c r="AH20" s="619">
        <f t="shared" si="8"/>
        <v>12942.126776563384</v>
      </c>
      <c r="AI20" s="619">
        <f t="shared" si="8"/>
        <v>0</v>
      </c>
      <c r="AJ20" s="619">
        <f t="shared" si="8"/>
        <v>0</v>
      </c>
      <c r="AK20" s="619">
        <f t="shared" si="8"/>
        <v>0</v>
      </c>
      <c r="AL20" s="619">
        <f t="shared" si="8"/>
        <v>0</v>
      </c>
      <c r="AM20" s="619">
        <f t="shared" si="8"/>
        <v>0</v>
      </c>
      <c r="AN20" s="619">
        <f t="shared" si="8"/>
        <v>0</v>
      </c>
    </row>
    <row r="21" spans="1:40" ht="12.75" customHeight="1">
      <c r="A21" s="41" t="s">
        <v>134</v>
      </c>
      <c r="B21" s="42"/>
      <c r="C21" s="42"/>
      <c r="D21" s="43">
        <f t="shared" ref="D21:AN21" si="9">IFERROR(D20/D5,0)</f>
        <v>0.91468727458553989</v>
      </c>
      <c r="E21" s="43">
        <f t="shared" si="9"/>
        <v>0.94207538276762959</v>
      </c>
      <c r="F21" s="43">
        <f t="shared" si="9"/>
        <v>0.93243266616784704</v>
      </c>
      <c r="G21" s="43">
        <f t="shared" si="9"/>
        <v>0.91350000000000009</v>
      </c>
      <c r="H21" s="43">
        <f t="shared" si="9"/>
        <v>0.91349999999999998</v>
      </c>
      <c r="I21" s="43">
        <f t="shared" si="9"/>
        <v>0.91350000000000009</v>
      </c>
      <c r="J21" s="43">
        <f t="shared" si="9"/>
        <v>0.91349999999999998</v>
      </c>
      <c r="K21" s="43">
        <f t="shared" si="9"/>
        <v>0.91349999999999998</v>
      </c>
      <c r="L21" s="43">
        <f t="shared" si="9"/>
        <v>0.91349999999999998</v>
      </c>
      <c r="M21" s="43">
        <f t="shared" si="9"/>
        <v>0.91349999999999998</v>
      </c>
      <c r="N21" s="43">
        <f t="shared" si="9"/>
        <v>0.91350000000000009</v>
      </c>
      <c r="O21" s="43">
        <f t="shared" si="9"/>
        <v>0.91349999999999998</v>
      </c>
      <c r="P21" s="43">
        <f t="shared" si="9"/>
        <v>0.91349999999999998</v>
      </c>
      <c r="Q21" s="43">
        <f t="shared" si="9"/>
        <v>0.91349999999999998</v>
      </c>
      <c r="R21" s="43">
        <f t="shared" si="9"/>
        <v>0.91349999999999998</v>
      </c>
      <c r="S21" s="43">
        <f t="shared" si="9"/>
        <v>0.91349999999999998</v>
      </c>
      <c r="T21" s="43">
        <f t="shared" si="9"/>
        <v>0.91349999999999998</v>
      </c>
      <c r="U21" s="43">
        <f t="shared" si="9"/>
        <v>0.91349999999999998</v>
      </c>
      <c r="V21" s="43">
        <f t="shared" si="9"/>
        <v>0.91349999999999998</v>
      </c>
      <c r="W21" s="43">
        <f t="shared" si="9"/>
        <v>0.91349999999999998</v>
      </c>
      <c r="X21" s="43">
        <f t="shared" si="9"/>
        <v>0.91349999999999998</v>
      </c>
      <c r="Y21" s="43">
        <f t="shared" si="9"/>
        <v>0.91349999999999998</v>
      </c>
      <c r="Z21" s="43">
        <f t="shared" si="9"/>
        <v>0.91349999999999998</v>
      </c>
      <c r="AA21" s="43">
        <f t="shared" si="9"/>
        <v>0.91349999999999998</v>
      </c>
      <c r="AB21" s="43">
        <f t="shared" si="9"/>
        <v>0.91349999999999998</v>
      </c>
      <c r="AC21" s="43">
        <f t="shared" si="9"/>
        <v>0.91349999999999998</v>
      </c>
      <c r="AD21" s="43">
        <f t="shared" si="9"/>
        <v>0.91349999999999998</v>
      </c>
      <c r="AE21" s="43">
        <f t="shared" si="9"/>
        <v>0.91350000000000009</v>
      </c>
      <c r="AF21" s="43">
        <f t="shared" si="9"/>
        <v>0.91349999999999998</v>
      </c>
      <c r="AG21" s="43">
        <f t="shared" si="9"/>
        <v>0.91349999999999998</v>
      </c>
      <c r="AH21" s="43">
        <f t="shared" si="9"/>
        <v>0.91349999999999998</v>
      </c>
      <c r="AI21" s="43">
        <f t="shared" si="9"/>
        <v>0</v>
      </c>
      <c r="AJ21" s="43">
        <f t="shared" si="9"/>
        <v>0</v>
      </c>
      <c r="AK21" s="43">
        <f t="shared" si="9"/>
        <v>0</v>
      </c>
      <c r="AL21" s="43">
        <f t="shared" si="9"/>
        <v>0</v>
      </c>
      <c r="AM21" s="43">
        <f t="shared" si="9"/>
        <v>0</v>
      </c>
      <c r="AN21" s="43">
        <f t="shared" si="9"/>
        <v>0</v>
      </c>
    </row>
    <row r="22" spans="1:40" ht="12.75" customHeight="1">
      <c r="A22" s="541">
        <f>D26*1000</f>
        <v>-1002020.5912031322</v>
      </c>
      <c r="B22" s="32"/>
      <c r="C22" s="32"/>
      <c r="D22" s="32"/>
      <c r="E22" s="32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</row>
    <row r="23" spans="1:40" ht="12.75" customHeight="1">
      <c r="A23" s="36"/>
      <c r="B23" s="32"/>
      <c r="C23" s="32"/>
      <c r="D23" s="32"/>
      <c r="E23" s="32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</row>
    <row r="24" spans="1:40" ht="12.75" customHeight="1">
      <c r="A24" s="617" t="s">
        <v>135</v>
      </c>
      <c r="B24" s="617"/>
      <c r="C24" s="617"/>
      <c r="D24" s="618">
        <f t="shared" ref="D24:D30" si="10">SUM(E24:AN24)</f>
        <v>-200641.63911684303</v>
      </c>
      <c r="E24" s="619">
        <f>E26+E27+E28+E29+E30</f>
        <v>-2639.0088126031806</v>
      </c>
      <c r="F24" s="619">
        <f t="shared" ref="F24:AM24" si="11">F26+F27+F28+F29+F30</f>
        <v>-5249.6157955484641</v>
      </c>
      <c r="G24" s="619">
        <f t="shared" si="11"/>
        <v>-6882.9023231461379</v>
      </c>
      <c r="H24" s="619">
        <f t="shared" si="11"/>
        <v>-6882.9838618532012</v>
      </c>
      <c r="I24" s="619">
        <f t="shared" si="11"/>
        <v>-6883.0656777918684</v>
      </c>
      <c r="J24" s="619">
        <f t="shared" si="11"/>
        <v>-6883.1477719047271</v>
      </c>
      <c r="K24" s="619">
        <f t="shared" si="11"/>
        <v>-6883.2301451375697</v>
      </c>
      <c r="L24" s="619">
        <f t="shared" si="11"/>
        <v>-6883.3127984394041</v>
      </c>
      <c r="M24" s="619">
        <f t="shared" si="11"/>
        <v>-6883.3957327624639</v>
      </c>
      <c r="N24" s="619">
        <f t="shared" si="11"/>
        <v>-6883.4789490622225</v>
      </c>
      <c r="O24" s="619">
        <f t="shared" si="11"/>
        <v>-6883.5624482974008</v>
      </c>
      <c r="P24" s="619">
        <f t="shared" si="11"/>
        <v>-6883.6462314299779</v>
      </c>
      <c r="Q24" s="619">
        <f t="shared" si="11"/>
        <v>-6883.7302994252068</v>
      </c>
      <c r="R24" s="619">
        <f t="shared" si="11"/>
        <v>-6883.8146532516184</v>
      </c>
      <c r="S24" s="619">
        <f t="shared" si="11"/>
        <v>-6883.8992938810406</v>
      </c>
      <c r="T24" s="619">
        <f t="shared" si="11"/>
        <v>-6883.9842222886027</v>
      </c>
      <c r="U24" s="619">
        <f t="shared" si="11"/>
        <v>-6884.06943945275</v>
      </c>
      <c r="V24" s="619">
        <f t="shared" si="11"/>
        <v>-6884.1549463552556</v>
      </c>
      <c r="W24" s="619">
        <f t="shared" si="11"/>
        <v>-6884.2407439812296</v>
      </c>
      <c r="X24" s="619">
        <f t="shared" si="11"/>
        <v>-6884.3268333191327</v>
      </c>
      <c r="Y24" s="619">
        <f t="shared" si="11"/>
        <v>-6884.4132153607843</v>
      </c>
      <c r="Z24" s="619">
        <f t="shared" si="11"/>
        <v>-6884.4998911013772</v>
      </c>
      <c r="AA24" s="619">
        <f t="shared" si="11"/>
        <v>-6884.5868615394884</v>
      </c>
      <c r="AB24" s="619">
        <f t="shared" si="11"/>
        <v>-6884.6741276770881</v>
      </c>
      <c r="AC24" s="619">
        <f t="shared" si="11"/>
        <v>-6884.7616905195573</v>
      </c>
      <c r="AD24" s="619">
        <f t="shared" si="11"/>
        <v>-6884.8495510756902</v>
      </c>
      <c r="AE24" s="619">
        <f t="shared" si="11"/>
        <v>-6884.9377103577135</v>
      </c>
      <c r="AF24" s="619">
        <f t="shared" si="11"/>
        <v>-6885.0261693812963</v>
      </c>
      <c r="AG24" s="619">
        <f t="shared" si="11"/>
        <v>-6885.1149291655593</v>
      </c>
      <c r="AH24" s="619">
        <f t="shared" si="11"/>
        <v>-6885.2039907330882</v>
      </c>
      <c r="AI24" s="619">
        <f t="shared" si="11"/>
        <v>0</v>
      </c>
      <c r="AJ24" s="619">
        <f t="shared" si="11"/>
        <v>0</v>
      </c>
      <c r="AK24" s="619">
        <f t="shared" si="11"/>
        <v>0</v>
      </c>
      <c r="AL24" s="619">
        <f t="shared" si="11"/>
        <v>0</v>
      </c>
      <c r="AM24" s="619">
        <f t="shared" si="11"/>
        <v>0</v>
      </c>
      <c r="AN24" s="619"/>
    </row>
    <row r="25" spans="1:40" ht="12.75" customHeight="1">
      <c r="A25" s="199" t="s">
        <v>136</v>
      </c>
      <c r="B25" s="199"/>
      <c r="C25" s="199"/>
      <c r="D25" s="217">
        <f>Painel!$C$15</f>
        <v>2.5100000000000001E-3</v>
      </c>
      <c r="E25" s="217">
        <f>Painel!$C$15</f>
        <v>2.5100000000000001E-3</v>
      </c>
      <c r="F25" s="217">
        <f>Painel!$C$15</f>
        <v>2.5100000000000001E-3</v>
      </c>
      <c r="G25" s="217">
        <f>Painel!$C$15</f>
        <v>2.5100000000000001E-3</v>
      </c>
      <c r="H25" s="217">
        <f>Painel!$C$15</f>
        <v>2.5100000000000001E-3</v>
      </c>
      <c r="I25" s="217">
        <f>Painel!$C$15</f>
        <v>2.5100000000000001E-3</v>
      </c>
      <c r="J25" s="217">
        <f>Painel!$C$15</f>
        <v>2.5100000000000001E-3</v>
      </c>
      <c r="K25" s="217">
        <f>Painel!$C$15</f>
        <v>2.5100000000000001E-3</v>
      </c>
      <c r="L25" s="217">
        <f>Painel!$C$15</f>
        <v>2.5100000000000001E-3</v>
      </c>
      <c r="M25" s="217">
        <f>Painel!$C$15</f>
        <v>2.5100000000000001E-3</v>
      </c>
      <c r="N25" s="217">
        <f>Painel!$C$15</f>
        <v>2.5100000000000001E-3</v>
      </c>
      <c r="O25" s="217">
        <f>Painel!$C$15</f>
        <v>2.5100000000000001E-3</v>
      </c>
      <c r="P25" s="217">
        <f>Painel!$C$15</f>
        <v>2.5100000000000001E-3</v>
      </c>
      <c r="Q25" s="217">
        <f>Painel!$C$15</f>
        <v>2.5100000000000001E-3</v>
      </c>
      <c r="R25" s="217">
        <f>Painel!$C$15</f>
        <v>2.5100000000000001E-3</v>
      </c>
      <c r="S25" s="217">
        <f>Painel!$C$15</f>
        <v>2.5100000000000001E-3</v>
      </c>
      <c r="T25" s="217">
        <f>Painel!$C$15</f>
        <v>2.5100000000000001E-3</v>
      </c>
      <c r="U25" s="217">
        <f>Painel!$C$15</f>
        <v>2.5100000000000001E-3</v>
      </c>
      <c r="V25" s="217">
        <f>Painel!$C$15</f>
        <v>2.5100000000000001E-3</v>
      </c>
      <c r="W25" s="217">
        <f>Painel!$C$15</f>
        <v>2.5100000000000001E-3</v>
      </c>
      <c r="X25" s="217">
        <f>Painel!$C$15</f>
        <v>2.5100000000000001E-3</v>
      </c>
      <c r="Y25" s="217">
        <f>Painel!$C$15</f>
        <v>2.5100000000000001E-3</v>
      </c>
      <c r="Z25" s="217">
        <f>Painel!$C$15</f>
        <v>2.5100000000000001E-3</v>
      </c>
      <c r="AA25" s="217">
        <f>Painel!$C$15</f>
        <v>2.5100000000000001E-3</v>
      </c>
      <c r="AB25" s="217">
        <f>Painel!$C$15</f>
        <v>2.5100000000000001E-3</v>
      </c>
      <c r="AC25" s="217">
        <f>Painel!$C$15</f>
        <v>2.5100000000000001E-3</v>
      </c>
      <c r="AD25" s="217">
        <f>Painel!$C$15</f>
        <v>2.5100000000000001E-3</v>
      </c>
      <c r="AE25" s="217">
        <f>Painel!$C$15</f>
        <v>2.5100000000000001E-3</v>
      </c>
      <c r="AF25" s="217">
        <f>Painel!$C$15</f>
        <v>2.5100000000000001E-3</v>
      </c>
      <c r="AG25" s="217">
        <f>Painel!$C$15</f>
        <v>2.5100000000000001E-3</v>
      </c>
      <c r="AH25" s="217">
        <f>Painel!$C$15</f>
        <v>2.5100000000000001E-3</v>
      </c>
      <c r="AI25" s="217">
        <f>Painel!$C$15</f>
        <v>2.5100000000000001E-3</v>
      </c>
      <c r="AJ25" s="217">
        <f>Painel!$C$15</f>
        <v>2.5100000000000001E-3</v>
      </c>
      <c r="AK25" s="217">
        <f>Painel!$C$15</f>
        <v>2.5100000000000001E-3</v>
      </c>
      <c r="AL25" s="217">
        <f>Painel!$C$15</f>
        <v>2.5100000000000001E-3</v>
      </c>
      <c r="AM25" s="217">
        <f>Painel!$C$15</f>
        <v>2.5100000000000001E-3</v>
      </c>
      <c r="AN25" s="217">
        <f>Painel!$C$15</f>
        <v>2.5100000000000001E-3</v>
      </c>
    </row>
    <row r="26" spans="1:40" ht="12.75" customHeight="1">
      <c r="A26" s="199" t="s">
        <v>137</v>
      </c>
      <c r="B26" s="199"/>
      <c r="C26" s="199"/>
      <c r="D26" s="200">
        <f>SUM(E26:AN26)</f>
        <v>-1002.0205912031322</v>
      </c>
      <c r="E26" s="201">
        <f>-(E25*(E5-E6))</f>
        <v>-14.133675696857908</v>
      </c>
      <c r="F26" s="201">
        <f t="shared" ref="F26:AN26" si="12">-(F25*(F5-F6))</f>
        <v>-24.883359320629879</v>
      </c>
      <c r="G26" s="201">
        <f t="shared" si="12"/>
        <v>-33.259074842359226</v>
      </c>
      <c r="H26" s="201">
        <f t="shared" si="12"/>
        <v>-33.340613549422457</v>
      </c>
      <c r="I26" s="201">
        <f t="shared" si="12"/>
        <v>-33.422429488089698</v>
      </c>
      <c r="J26" s="201">
        <f t="shared" si="12"/>
        <v>-33.50452360094841</v>
      </c>
      <c r="K26" s="201">
        <f t="shared" si="12"/>
        <v>-33.586896833790846</v>
      </c>
      <c r="L26" s="201">
        <f t="shared" si="12"/>
        <v>-33.669550135624945</v>
      </c>
      <c r="M26" s="201">
        <f t="shared" si="12"/>
        <v>-33.752484458685274</v>
      </c>
      <c r="N26" s="201">
        <f t="shared" si="12"/>
        <v>-33.835700758444005</v>
      </c>
      <c r="O26" s="201">
        <f t="shared" si="12"/>
        <v>-33.919199993621923</v>
      </c>
      <c r="P26" s="201">
        <f t="shared" si="12"/>
        <v>-34.002983126199446</v>
      </c>
      <c r="Q26" s="201">
        <f t="shared" si="12"/>
        <v>-34.087051121427727</v>
      </c>
      <c r="R26" s="201">
        <f t="shared" si="12"/>
        <v>-34.171404947839797</v>
      </c>
      <c r="S26" s="201">
        <f t="shared" si="12"/>
        <v>-34.256045577261652</v>
      </c>
      <c r="T26" s="201">
        <f t="shared" si="12"/>
        <v>-34.340973984823549</v>
      </c>
      <c r="U26" s="201">
        <f t="shared" si="12"/>
        <v>-34.426191148971157</v>
      </c>
      <c r="V26" s="201">
        <f t="shared" si="12"/>
        <v>-34.51169805147687</v>
      </c>
      <c r="W26" s="201">
        <f t="shared" si="12"/>
        <v>-34.5974956774511</v>
      </c>
      <c r="X26" s="201">
        <f t="shared" si="12"/>
        <v>-34.683585015353628</v>
      </c>
      <c r="Y26" s="201">
        <f t="shared" si="12"/>
        <v>-34.769967057005047</v>
      </c>
      <c r="Z26" s="201">
        <f t="shared" si="12"/>
        <v>-34.85664279759807</v>
      </c>
      <c r="AA26" s="201">
        <f t="shared" si="12"/>
        <v>-34.943613235709108</v>
      </c>
      <c r="AB26" s="201">
        <f t="shared" si="12"/>
        <v>-35.03087937330973</v>
      </c>
      <c r="AC26" s="201">
        <f t="shared" si="12"/>
        <v>-35.118442215778181</v>
      </c>
      <c r="AD26" s="201">
        <f t="shared" si="12"/>
        <v>-35.206302771911041</v>
      </c>
      <c r="AE26" s="201">
        <f t="shared" si="12"/>
        <v>-35.294462053934744</v>
      </c>
      <c r="AF26" s="201">
        <f t="shared" si="12"/>
        <v>-35.382921077517331</v>
      </c>
      <c r="AG26" s="201">
        <f t="shared" si="12"/>
        <v>-35.471680861780087</v>
      </c>
      <c r="AH26" s="201">
        <f t="shared" si="12"/>
        <v>-35.56074242930935</v>
      </c>
      <c r="AI26" s="201">
        <f t="shared" si="12"/>
        <v>0</v>
      </c>
      <c r="AJ26" s="201">
        <f t="shared" si="12"/>
        <v>0</v>
      </c>
      <c r="AK26" s="201">
        <f t="shared" si="12"/>
        <v>0</v>
      </c>
      <c r="AL26" s="201">
        <f t="shared" si="12"/>
        <v>0</v>
      </c>
      <c r="AM26" s="201">
        <f t="shared" si="12"/>
        <v>0</v>
      </c>
      <c r="AN26" s="201">
        <f t="shared" si="12"/>
        <v>0</v>
      </c>
    </row>
    <row r="27" spans="1:40" ht="12.75" customHeight="1">
      <c r="A27" s="39" t="s">
        <v>138</v>
      </c>
      <c r="B27" s="35"/>
      <c r="C27" s="35"/>
      <c r="D27" s="33">
        <f>SUM(E27:AN27)</f>
        <v>-181865.01781311532</v>
      </c>
      <c r="E27" s="46">
        <f>-(IF(Painel!$C$9="Base",OPEX!E28,IF(Painel!$C$9="Pessimista",OPEX!E52,IF(Painel!$C$9="Otimista",OPEX!E76,IF(Painel!$C$9="-",OPEX!E28,0)))))</f>
        <v>-2187.3799393330023</v>
      </c>
      <c r="F27" s="46">
        <f>-(IF(Painel!$C$9="Base",OPEX!F28,IF(Painel!$C$9="Pessimista",OPEX!F52,IF(Painel!$C$9="Otimista",OPEX!F76,IF(Painel!$C$9="-",OPEX!F28,0)))))</f>
        <v>-4687.2427271421484</v>
      </c>
      <c r="G27" s="46">
        <f>-(IF(Painel!$C$9="Base",OPEX!G28,IF(Painel!$C$9="Pessimista",OPEX!G52,IF(Painel!$C$9="Otimista",OPEX!G76,IF(Painel!$C$9="-",OPEX!G28,0)))))</f>
        <v>-6249.6569695228645</v>
      </c>
      <c r="H27" s="46">
        <f>-(IF(Painel!$C$9="Base",OPEX!H28,IF(Painel!$C$9="Pessimista",OPEX!H52,IF(Painel!$C$9="Otimista",OPEX!H76,IF(Painel!$C$9="-",OPEX!H28,0)))))</f>
        <v>-6249.6569695228645</v>
      </c>
      <c r="I27" s="46">
        <f>-(IF(Painel!$C$9="Base",OPEX!I28,IF(Painel!$C$9="Pessimista",OPEX!I52,IF(Painel!$C$9="Otimista",OPEX!I76,IF(Painel!$C$9="-",OPEX!I28,0)))))</f>
        <v>-6249.6569695228645</v>
      </c>
      <c r="J27" s="46">
        <f>-(IF(Painel!$C$9="Base",OPEX!J28,IF(Painel!$C$9="Pessimista",OPEX!J52,IF(Painel!$C$9="Otimista",OPEX!J76,IF(Painel!$C$9="-",OPEX!J28,0)))))</f>
        <v>-6249.6569695228645</v>
      </c>
      <c r="K27" s="46">
        <f>-(IF(Painel!$C$9="Base",OPEX!K28,IF(Painel!$C$9="Pessimista",OPEX!K52,IF(Painel!$C$9="Otimista",OPEX!K76,IF(Painel!$C$9="-",OPEX!K28,0)))))</f>
        <v>-6249.6569695228645</v>
      </c>
      <c r="L27" s="46">
        <f>-(IF(Painel!$C$9="Base",OPEX!L28,IF(Painel!$C$9="Pessimista",OPEX!L52,IF(Painel!$C$9="Otimista",OPEX!L76,IF(Painel!$C$9="-",OPEX!L28,0)))))</f>
        <v>-6249.6569695228645</v>
      </c>
      <c r="M27" s="46">
        <f>-(IF(Painel!$C$9="Base",OPEX!M28,IF(Painel!$C$9="Pessimista",OPEX!M52,IF(Painel!$C$9="Otimista",OPEX!M76,IF(Painel!$C$9="-",OPEX!M28,0)))))</f>
        <v>-6249.6569695228645</v>
      </c>
      <c r="N27" s="46">
        <f>-(IF(Painel!$C$9="Base",OPEX!N28,IF(Painel!$C$9="Pessimista",OPEX!N52,IF(Painel!$C$9="Otimista",OPEX!N76,IF(Painel!$C$9="-",OPEX!N28,0)))))</f>
        <v>-6249.6569695228645</v>
      </c>
      <c r="O27" s="46">
        <f>-(IF(Painel!$C$9="Base",OPEX!O28,IF(Painel!$C$9="Pessimista",OPEX!O52,IF(Painel!$C$9="Otimista",OPEX!O76,IF(Painel!$C$9="-",OPEX!O28,0)))))</f>
        <v>-6249.6569695228645</v>
      </c>
      <c r="P27" s="46">
        <f>-(IF(Painel!$C$9="Base",OPEX!P28,IF(Painel!$C$9="Pessimista",OPEX!P52,IF(Painel!$C$9="Otimista",OPEX!P76,IF(Painel!$C$9="-",OPEX!P28,0)))))</f>
        <v>-6249.6569695228645</v>
      </c>
      <c r="Q27" s="46">
        <f>-(IF(Painel!$C$9="Base",OPEX!Q28,IF(Painel!$C$9="Pessimista",OPEX!Q52,IF(Painel!$C$9="Otimista",OPEX!Q76,IF(Painel!$C$9="-",OPEX!Q28,0)))))</f>
        <v>-6249.6569695228645</v>
      </c>
      <c r="R27" s="46">
        <f>-(IF(Painel!$C$9="Base",OPEX!R28,IF(Painel!$C$9="Pessimista",OPEX!R52,IF(Painel!$C$9="Otimista",OPEX!R76,IF(Painel!$C$9="-",OPEX!R28,0)))))</f>
        <v>-6249.6569695228645</v>
      </c>
      <c r="S27" s="46">
        <f>-(IF(Painel!$C$9="Base",OPEX!S28,IF(Painel!$C$9="Pessimista",OPEX!S52,IF(Painel!$C$9="Otimista",OPEX!S76,IF(Painel!$C$9="-",OPEX!S28,0)))))</f>
        <v>-6249.6569695228645</v>
      </c>
      <c r="T27" s="46">
        <f>-(IF(Painel!$C$9="Base",OPEX!T28,IF(Painel!$C$9="Pessimista",OPEX!T52,IF(Painel!$C$9="Otimista",OPEX!T76,IF(Painel!$C$9="-",OPEX!T28,0)))))</f>
        <v>-6249.6569695228645</v>
      </c>
      <c r="U27" s="46">
        <f>-(IF(Painel!$C$9="Base",OPEX!U28,IF(Painel!$C$9="Pessimista",OPEX!U52,IF(Painel!$C$9="Otimista",OPEX!U76,IF(Painel!$C$9="-",OPEX!U28,0)))))</f>
        <v>-6249.6569695228645</v>
      </c>
      <c r="V27" s="46">
        <f>-(IF(Painel!$C$9="Base",OPEX!V28,IF(Painel!$C$9="Pessimista",OPEX!V52,IF(Painel!$C$9="Otimista",OPEX!V76,IF(Painel!$C$9="-",OPEX!V28,0)))))</f>
        <v>-6249.6569695228645</v>
      </c>
      <c r="W27" s="46">
        <f>-(IF(Painel!$C$9="Base",OPEX!W28,IF(Painel!$C$9="Pessimista",OPEX!W52,IF(Painel!$C$9="Otimista",OPEX!W76,IF(Painel!$C$9="-",OPEX!W28,0)))))</f>
        <v>-6249.6569695228645</v>
      </c>
      <c r="X27" s="46">
        <f>-(IF(Painel!$C$9="Base",OPEX!X28,IF(Painel!$C$9="Pessimista",OPEX!X52,IF(Painel!$C$9="Otimista",OPEX!X76,IF(Painel!$C$9="-",OPEX!X28,0)))))</f>
        <v>-6249.6569695228645</v>
      </c>
      <c r="Y27" s="46">
        <f>-(IF(Painel!$C$9="Base",OPEX!Y28,IF(Painel!$C$9="Pessimista",OPEX!Y52,IF(Painel!$C$9="Otimista",OPEX!Y76,IF(Painel!$C$9="-",OPEX!Y28,0)))))</f>
        <v>-6249.6569695228645</v>
      </c>
      <c r="Z27" s="46">
        <f>-(IF(Painel!$C$9="Base",OPEX!Z28,IF(Painel!$C$9="Pessimista",OPEX!Z52,IF(Painel!$C$9="Otimista",OPEX!Z76,IF(Painel!$C$9="-",OPEX!Z28,0)))))</f>
        <v>-6249.6569695228645</v>
      </c>
      <c r="AA27" s="46">
        <f>-(IF(Painel!$C$9="Base",OPEX!AA28,IF(Painel!$C$9="Pessimista",OPEX!AA52,IF(Painel!$C$9="Otimista",OPEX!AA76,IF(Painel!$C$9="-",OPEX!AA28,0)))))</f>
        <v>-6249.6569695228645</v>
      </c>
      <c r="AB27" s="46">
        <f>-(IF(Painel!$C$9="Base",OPEX!AB28,IF(Painel!$C$9="Pessimista",OPEX!AB52,IF(Painel!$C$9="Otimista",OPEX!AB76,IF(Painel!$C$9="-",OPEX!AB28,0)))))</f>
        <v>-6249.6569695228645</v>
      </c>
      <c r="AC27" s="46">
        <f>-(IF(Painel!$C$9="Base",OPEX!AC28,IF(Painel!$C$9="Pessimista",OPEX!AC52,IF(Painel!$C$9="Otimista",OPEX!AC76,IF(Painel!$C$9="-",OPEX!AC28,0)))))</f>
        <v>-6249.6569695228645</v>
      </c>
      <c r="AD27" s="46">
        <f>-(IF(Painel!$C$9="Base",OPEX!AD28,IF(Painel!$C$9="Pessimista",OPEX!AD52,IF(Painel!$C$9="Otimista",OPEX!AD76,IF(Painel!$C$9="-",OPEX!AD28,0)))))</f>
        <v>-6249.6569695228645</v>
      </c>
      <c r="AE27" s="46">
        <f>-(IF(Painel!$C$9="Base",OPEX!AE28,IF(Painel!$C$9="Pessimista",OPEX!AE52,IF(Painel!$C$9="Otimista",OPEX!AE76,IF(Painel!$C$9="-",OPEX!AE28,0)))))</f>
        <v>-6249.6569695228645</v>
      </c>
      <c r="AF27" s="46">
        <f>-(IF(Painel!$C$9="Base",OPEX!AF28,IF(Painel!$C$9="Pessimista",OPEX!AF52,IF(Painel!$C$9="Otimista",OPEX!AF76,IF(Painel!$C$9="-",OPEX!AF28,0)))))</f>
        <v>-6249.6569695228645</v>
      </c>
      <c r="AG27" s="46">
        <f>-(IF(Painel!$C$9="Base",OPEX!AG28,IF(Painel!$C$9="Pessimista",OPEX!AG52,IF(Painel!$C$9="Otimista",OPEX!AG76,IF(Painel!$C$9="-",OPEX!AG28,0)))))</f>
        <v>-6249.6569695228645</v>
      </c>
      <c r="AH27" s="46">
        <f>-(IF(Painel!$C$9="Base",OPEX!AH28,IF(Painel!$C$9="Pessimista",OPEX!AH52,IF(Painel!$C$9="Otimista",OPEX!AH76,IF(Painel!$C$9="-",OPEX!AH28,0)))))</f>
        <v>-6249.6569695228645</v>
      </c>
      <c r="AI27" s="46">
        <f>-(IF(Painel!$C$9="Base",OPEX!AI28,IF(Painel!$C$9="Pessimista",OPEX!AI52,IF(Painel!$C$9="Otimista",OPEX!AI76,IF(Painel!$C$9="-",OPEX!AI28,0)))))</f>
        <v>0</v>
      </c>
      <c r="AJ27" s="46">
        <f>-(IF(Painel!$C$9="Base",OPEX!AJ28,IF(Painel!$C$9="Pessimista",OPEX!AJ52,IF(Painel!$C$9="Otimista",OPEX!AJ76,IF(Painel!$C$9="-",OPEX!AJ28,0)))))</f>
        <v>0</v>
      </c>
      <c r="AK27" s="46">
        <f>-(IF(Painel!$C$9="Base",OPEX!AK28,IF(Painel!$C$9="Pessimista",OPEX!AK52,IF(Painel!$C$9="Otimista",OPEX!AK76,IF(Painel!$C$9="-",OPEX!AK28,0)))))</f>
        <v>0</v>
      </c>
      <c r="AL27" s="46">
        <f>-(IF(Painel!$C$9="Base",OPEX!AL28,IF(Painel!$C$9="Pessimista",OPEX!AL52,IF(Painel!$C$9="Otimista",OPEX!AL76,IF(Painel!$C$9="-",OPEX!AL28,0)))))</f>
        <v>0</v>
      </c>
      <c r="AM27" s="46">
        <f>-(IF(Painel!$C$9="Base",OPEX!AM28,IF(Painel!$C$9="Pessimista",OPEX!AM52,IF(Painel!$C$9="Otimista",OPEX!AM76,IF(Painel!$C$9="-",OPEX!AM28,0)))))</f>
        <v>0</v>
      </c>
    </row>
    <row r="28" spans="1:40" ht="12.75" customHeight="1">
      <c r="A28" s="39" t="s">
        <v>71</v>
      </c>
      <c r="B28" s="35"/>
      <c r="C28" s="35"/>
      <c r="D28" s="33">
        <f>SUM(E28:AN28)</f>
        <v>-7274.6007125246115</v>
      </c>
      <c r="E28" s="46">
        <f>Painel!$G$19*E27</f>
        <v>-87.495197573320098</v>
      </c>
      <c r="F28" s="46">
        <f>Painel!$G$19*F27</f>
        <v>-187.48970908568594</v>
      </c>
      <c r="G28" s="46">
        <f>Painel!$G$19*G27</f>
        <v>-249.98627878091457</v>
      </c>
      <c r="H28" s="46">
        <f>Painel!$G$19*H27</f>
        <v>-249.98627878091457</v>
      </c>
      <c r="I28" s="46">
        <f>Painel!$G$19*I27</f>
        <v>-249.98627878091457</v>
      </c>
      <c r="J28" s="46">
        <f>Painel!$G$19*J27</f>
        <v>-249.98627878091457</v>
      </c>
      <c r="K28" s="46">
        <f>Painel!$G$19*K27</f>
        <v>-249.98627878091457</v>
      </c>
      <c r="L28" s="46">
        <f>Painel!$G$19*L27</f>
        <v>-249.98627878091457</v>
      </c>
      <c r="M28" s="46">
        <f>Painel!$G$19*M27</f>
        <v>-249.98627878091457</v>
      </c>
      <c r="N28" s="46">
        <f>Painel!$G$19*N27</f>
        <v>-249.98627878091457</v>
      </c>
      <c r="O28" s="46">
        <f>Painel!$G$19*O27</f>
        <v>-249.98627878091457</v>
      </c>
      <c r="P28" s="46">
        <f>Painel!$G$19*P27</f>
        <v>-249.98627878091457</v>
      </c>
      <c r="Q28" s="46">
        <f>Painel!$G$19*Q27</f>
        <v>-249.98627878091457</v>
      </c>
      <c r="R28" s="46">
        <f>Painel!$G$19*R27</f>
        <v>-249.98627878091457</v>
      </c>
      <c r="S28" s="46">
        <f>Painel!$G$19*S27</f>
        <v>-249.98627878091457</v>
      </c>
      <c r="T28" s="46">
        <f>Painel!$G$19*T27</f>
        <v>-249.98627878091457</v>
      </c>
      <c r="U28" s="46">
        <f>Painel!$G$19*U27</f>
        <v>-249.98627878091457</v>
      </c>
      <c r="V28" s="46">
        <f>Painel!$G$19*V27</f>
        <v>-249.98627878091457</v>
      </c>
      <c r="W28" s="46">
        <f>Painel!$G$19*W27</f>
        <v>-249.98627878091457</v>
      </c>
      <c r="X28" s="46">
        <f>Painel!$G$19*X27</f>
        <v>-249.98627878091457</v>
      </c>
      <c r="Y28" s="46">
        <f>Painel!$G$19*Y27</f>
        <v>-249.98627878091457</v>
      </c>
      <c r="Z28" s="46">
        <f>Painel!$G$19*Z27</f>
        <v>-249.98627878091457</v>
      </c>
      <c r="AA28" s="46">
        <f>Painel!$G$19*AA27</f>
        <v>-249.98627878091457</v>
      </c>
      <c r="AB28" s="46">
        <f>Painel!$G$19*AB27</f>
        <v>-249.98627878091457</v>
      </c>
      <c r="AC28" s="46">
        <f>Painel!$G$19*AC27</f>
        <v>-249.98627878091457</v>
      </c>
      <c r="AD28" s="46">
        <f>Painel!$G$19*AD27</f>
        <v>-249.98627878091457</v>
      </c>
      <c r="AE28" s="46">
        <f>Painel!$G$19*AE27</f>
        <v>-249.98627878091457</v>
      </c>
      <c r="AF28" s="46">
        <f>Painel!$G$19*AF27</f>
        <v>-249.98627878091457</v>
      </c>
      <c r="AG28" s="46">
        <f>Painel!$G$19*AG27</f>
        <v>-249.98627878091457</v>
      </c>
      <c r="AH28" s="46">
        <f>Painel!$G$19*AH27</f>
        <v>-249.98627878091457</v>
      </c>
      <c r="AI28" s="46">
        <f>Painel!$G$19*AI27</f>
        <v>0</v>
      </c>
      <c r="AJ28" s="46">
        <f>Painel!$G$19*AJ27</f>
        <v>0</v>
      </c>
      <c r="AK28" s="46">
        <f>Painel!$G$19*AK27</f>
        <v>0</v>
      </c>
      <c r="AL28" s="46">
        <f>Painel!$G$19*AL27</f>
        <v>0</v>
      </c>
      <c r="AM28" s="46">
        <f>Painel!$G$19*AM27</f>
        <v>0</v>
      </c>
      <c r="AN28" s="46">
        <f>Painel!$G$19*AN27</f>
        <v>0</v>
      </c>
    </row>
    <row r="29" spans="1:40" ht="12.75" customHeight="1">
      <c r="A29" s="39" t="s">
        <v>79</v>
      </c>
      <c r="B29" s="35"/>
      <c r="C29" s="35"/>
      <c r="D29" s="33">
        <f t="shared" si="10"/>
        <v>-10500</v>
      </c>
      <c r="E29" s="46">
        <f>-Painel!$G$21/1000</f>
        <v>-350</v>
      </c>
      <c r="F29" s="46">
        <f>-Painel!$G$21/1000</f>
        <v>-350</v>
      </c>
      <c r="G29" s="46">
        <f>-Painel!$G$21/1000</f>
        <v>-350</v>
      </c>
      <c r="H29" s="46">
        <f>-Painel!$G$21/1000</f>
        <v>-350</v>
      </c>
      <c r="I29" s="46">
        <f>-Painel!$G$21/1000</f>
        <v>-350</v>
      </c>
      <c r="J29" s="46">
        <f>-Painel!$G$21/1000</f>
        <v>-350</v>
      </c>
      <c r="K29" s="46">
        <f>-Painel!$G$21/1000</f>
        <v>-350</v>
      </c>
      <c r="L29" s="46">
        <f>-Painel!$G$21/1000</f>
        <v>-350</v>
      </c>
      <c r="M29" s="46">
        <f>-Painel!$G$21/1000</f>
        <v>-350</v>
      </c>
      <c r="N29" s="46">
        <f>-Painel!$G$21/1000</f>
        <v>-350</v>
      </c>
      <c r="O29" s="46">
        <f>-Painel!$G$21/1000</f>
        <v>-350</v>
      </c>
      <c r="P29" s="46">
        <f>-Painel!$G$21/1000</f>
        <v>-350</v>
      </c>
      <c r="Q29" s="46">
        <f>-Painel!$G$21/1000</f>
        <v>-350</v>
      </c>
      <c r="R29" s="46">
        <f>-Painel!$G$21/1000</f>
        <v>-350</v>
      </c>
      <c r="S29" s="46">
        <f>-Painel!$G$21/1000</f>
        <v>-350</v>
      </c>
      <c r="T29" s="46">
        <f>-Painel!$G$21/1000</f>
        <v>-350</v>
      </c>
      <c r="U29" s="46">
        <f>-Painel!$G$21/1000</f>
        <v>-350</v>
      </c>
      <c r="V29" s="46">
        <f>-Painel!$G$21/1000</f>
        <v>-350</v>
      </c>
      <c r="W29" s="46">
        <f>-Painel!$G$21/1000</f>
        <v>-350</v>
      </c>
      <c r="X29" s="46">
        <f>-Painel!$G$21/1000</f>
        <v>-350</v>
      </c>
      <c r="Y29" s="46">
        <f>-Painel!$G$21/1000</f>
        <v>-350</v>
      </c>
      <c r="Z29" s="46">
        <f>-Painel!$G$21/1000</f>
        <v>-350</v>
      </c>
      <c r="AA29" s="46">
        <f>-Painel!$G$21/1000</f>
        <v>-350</v>
      </c>
      <c r="AB29" s="46">
        <f>-Painel!$G$21/1000</f>
        <v>-350</v>
      </c>
      <c r="AC29" s="46">
        <f>-Painel!$G$21/1000</f>
        <v>-350</v>
      </c>
      <c r="AD29" s="46">
        <f>-Painel!$G$21/1000</f>
        <v>-350</v>
      </c>
      <c r="AE29" s="46">
        <f>-Painel!$G$21/1000</f>
        <v>-350</v>
      </c>
      <c r="AF29" s="46">
        <f>-Painel!$G$21/1000</f>
        <v>-350</v>
      </c>
      <c r="AG29" s="46">
        <f>-Painel!$G$21/1000</f>
        <v>-350</v>
      </c>
      <c r="AH29" s="46">
        <f>-Painel!$G$21/1000</f>
        <v>-350</v>
      </c>
      <c r="AI29" s="46">
        <f>Painel!AK21/1000</f>
        <v>0</v>
      </c>
      <c r="AJ29" s="46">
        <f>Painel!AL21/1000</f>
        <v>0</v>
      </c>
      <c r="AK29" s="46">
        <f>Painel!AM21/1000</f>
        <v>0</v>
      </c>
      <c r="AL29" s="46">
        <f>Painel!AN21/1000</f>
        <v>0</v>
      </c>
      <c r="AM29" s="46">
        <f>Painel!AO21/1000</f>
        <v>0</v>
      </c>
      <c r="AN29" s="46">
        <f>Painel!AP21/1000</f>
        <v>0</v>
      </c>
    </row>
    <row r="30" spans="1:40" ht="12.75" customHeight="1">
      <c r="A30" s="39" t="s">
        <v>68</v>
      </c>
      <c r="B30" s="35"/>
      <c r="C30" s="35"/>
      <c r="D30" s="33">
        <f t="shared" si="10"/>
        <v>0</v>
      </c>
      <c r="E30" s="46">
        <f>-Painel!$G$18*E5</f>
        <v>0</v>
      </c>
      <c r="F30" s="46">
        <f>-Painel!$G$18*F5</f>
        <v>0</v>
      </c>
      <c r="G30" s="46">
        <f>-Painel!$G$18*G5</f>
        <v>0</v>
      </c>
      <c r="H30" s="46">
        <f>-Painel!$G$18*H5</f>
        <v>0</v>
      </c>
      <c r="I30" s="46">
        <f>-Painel!$G$18*I5</f>
        <v>0</v>
      </c>
      <c r="J30" s="46">
        <f>-Painel!$G$18*J5</f>
        <v>0</v>
      </c>
      <c r="K30" s="46">
        <f>-Painel!$G$18*K5</f>
        <v>0</v>
      </c>
      <c r="L30" s="46">
        <f>-Painel!$G$18*L5</f>
        <v>0</v>
      </c>
      <c r="M30" s="46">
        <f>-Painel!$G$18*M5</f>
        <v>0</v>
      </c>
      <c r="N30" s="46">
        <f>-Painel!$G$18*N5</f>
        <v>0</v>
      </c>
      <c r="O30" s="46">
        <f>-Painel!$G$18*O5</f>
        <v>0</v>
      </c>
      <c r="P30" s="46">
        <f>-Painel!$G$18*P5</f>
        <v>0</v>
      </c>
      <c r="Q30" s="46">
        <f>-Painel!$G$18*Q5</f>
        <v>0</v>
      </c>
      <c r="R30" s="46">
        <f>-Painel!$G$18*R5</f>
        <v>0</v>
      </c>
      <c r="S30" s="46">
        <f>-Painel!$G$18*S5</f>
        <v>0</v>
      </c>
      <c r="T30" s="46">
        <f>-Painel!$G$18*T5</f>
        <v>0</v>
      </c>
      <c r="U30" s="46">
        <f>-Painel!$G$18*U5</f>
        <v>0</v>
      </c>
      <c r="V30" s="46">
        <f>-Painel!$G$18*V5</f>
        <v>0</v>
      </c>
      <c r="W30" s="46">
        <f>-Painel!$G$18*W5</f>
        <v>0</v>
      </c>
      <c r="X30" s="46">
        <f>-Painel!$G$18*X5</f>
        <v>0</v>
      </c>
      <c r="Y30" s="46">
        <f>-Painel!$G$18*Y5</f>
        <v>0</v>
      </c>
      <c r="Z30" s="46">
        <f>-Painel!$G$18*Z5</f>
        <v>0</v>
      </c>
      <c r="AA30" s="46">
        <f>-Painel!$G$18*AA5</f>
        <v>0</v>
      </c>
      <c r="AB30" s="46">
        <f>-Painel!$G$18*AB5</f>
        <v>0</v>
      </c>
      <c r="AC30" s="46">
        <f>-Painel!$G$18*AC5</f>
        <v>0</v>
      </c>
      <c r="AD30" s="46">
        <f>-Painel!$G$18*AD5</f>
        <v>0</v>
      </c>
      <c r="AE30" s="46">
        <f>-Painel!$G$18*AE5</f>
        <v>0</v>
      </c>
      <c r="AF30" s="46">
        <f>-Painel!$G$18*AF5</f>
        <v>0</v>
      </c>
      <c r="AG30" s="46">
        <f>-Painel!$G$18*AG5</f>
        <v>0</v>
      </c>
      <c r="AH30" s="46">
        <f>-Painel!$G$18*AH5</f>
        <v>0</v>
      </c>
      <c r="AI30" s="46">
        <f>-Painel!$G$18*AI5</f>
        <v>0</v>
      </c>
      <c r="AJ30" s="46">
        <f>-Painel!$G$18*AJ5</f>
        <v>0</v>
      </c>
      <c r="AK30" s="46">
        <f>-Painel!$G$18*AK5</f>
        <v>0</v>
      </c>
      <c r="AL30" s="46">
        <f>-Painel!$G$18*AL5</f>
        <v>0</v>
      </c>
      <c r="AM30" s="46">
        <f>-Painel!$G$18*AM5</f>
        <v>0</v>
      </c>
      <c r="AN30" s="46">
        <f>-Painel!$G$18*AN5</f>
        <v>0</v>
      </c>
    </row>
    <row r="31" spans="1:40" ht="12.75" customHeight="1">
      <c r="A31" s="36"/>
      <c r="B31" s="32"/>
      <c r="C31" s="32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</row>
    <row r="32" spans="1:40" ht="12.75" customHeight="1">
      <c r="A32" s="617" t="s">
        <v>139</v>
      </c>
      <c r="B32" s="617"/>
      <c r="C32" s="617"/>
      <c r="D32" s="618">
        <f>SUM(E32:AN32)</f>
        <v>169593.68559382547</v>
      </c>
      <c r="E32" s="619">
        <f t="shared" ref="E32:AN32" si="13">E20+E24</f>
        <v>5282.7203622725619</v>
      </c>
      <c r="F32" s="619">
        <f t="shared" si="13"/>
        <v>6584.3986344331324</v>
      </c>
      <c r="G32" s="619">
        <f t="shared" si="13"/>
        <v>5221.5458316328077</v>
      </c>
      <c r="H32" s="619">
        <f t="shared" si="13"/>
        <v>5251.1398343210658</v>
      </c>
      <c r="I32" s="619">
        <f t="shared" si="13"/>
        <v>5280.834456618466</v>
      </c>
      <c r="J32" s="619">
        <f t="shared" si="13"/>
        <v>5310.6300406316768</v>
      </c>
      <c r="K32" s="619">
        <f t="shared" si="13"/>
        <v>5340.5269296305323</v>
      </c>
      <c r="L32" s="619">
        <f t="shared" si="13"/>
        <v>5370.5254680519838</v>
      </c>
      <c r="M32" s="619">
        <f t="shared" si="13"/>
        <v>5400.6260015040671</v>
      </c>
      <c r="N32" s="619">
        <f t="shared" si="13"/>
        <v>5430.8288767698887</v>
      </c>
      <c r="O32" s="619">
        <f t="shared" si="13"/>
        <v>5461.1344418116141</v>
      </c>
      <c r="P32" s="619">
        <f t="shared" si="13"/>
        <v>5491.5430457744815</v>
      </c>
      <c r="Q32" s="619">
        <f t="shared" si="13"/>
        <v>5522.0550389908212</v>
      </c>
      <c r="R32" s="619">
        <f t="shared" si="13"/>
        <v>5552.6707729841</v>
      </c>
      <c r="S32" s="619">
        <f t="shared" si="13"/>
        <v>5583.3906004729506</v>
      </c>
      <c r="T32" s="619">
        <f t="shared" si="13"/>
        <v>5614.2148753752654</v>
      </c>
      <c r="U32" s="619">
        <f t="shared" si="13"/>
        <v>5645.143952812251</v>
      </c>
      <c r="V32" s="619">
        <f t="shared" si="13"/>
        <v>5676.178189112522</v>
      </c>
      <c r="W32" s="619">
        <f t="shared" si="13"/>
        <v>5707.3179418162117</v>
      </c>
      <c r="X32" s="619">
        <f t="shared" si="13"/>
        <v>5738.5635696790914</v>
      </c>
      <c r="Y32" s="619">
        <f t="shared" si="13"/>
        <v>5769.9154326767093</v>
      </c>
      <c r="Z32" s="619">
        <f t="shared" si="13"/>
        <v>5801.3738920085179</v>
      </c>
      <c r="AA32" s="619">
        <f t="shared" si="13"/>
        <v>5832.9393101020542</v>
      </c>
      <c r="AB32" s="619">
        <f t="shared" si="13"/>
        <v>5864.6120506171101</v>
      </c>
      <c r="AC32" s="619">
        <f t="shared" si="13"/>
        <v>5896.3924784499122</v>
      </c>
      <c r="AD32" s="619">
        <f t="shared" si="13"/>
        <v>5928.2809597373516</v>
      </c>
      <c r="AE32" s="619">
        <f t="shared" si="13"/>
        <v>5960.2778618611665</v>
      </c>
      <c r="AF32" s="619">
        <f t="shared" si="13"/>
        <v>5992.3835534522013</v>
      </c>
      <c r="AG32" s="619">
        <f t="shared" si="13"/>
        <v>6024.5984043946419</v>
      </c>
      <c r="AH32" s="619">
        <f t="shared" si="13"/>
        <v>6056.9227858302957</v>
      </c>
      <c r="AI32" s="619">
        <f t="shared" si="13"/>
        <v>0</v>
      </c>
      <c r="AJ32" s="619">
        <f t="shared" si="13"/>
        <v>0</v>
      </c>
      <c r="AK32" s="619">
        <f t="shared" si="13"/>
        <v>0</v>
      </c>
      <c r="AL32" s="619">
        <f t="shared" si="13"/>
        <v>0</v>
      </c>
      <c r="AM32" s="619">
        <f t="shared" si="13"/>
        <v>0</v>
      </c>
      <c r="AN32" s="619">
        <f t="shared" si="13"/>
        <v>0</v>
      </c>
    </row>
    <row r="33" spans="1:40" ht="12.75" customHeight="1">
      <c r="A33" s="39" t="s">
        <v>140</v>
      </c>
      <c r="B33" s="32"/>
      <c r="C33" s="32"/>
      <c r="D33" s="559">
        <f t="shared" ref="D33:AN33" si="14">IFERROR(D32/D$20,0)</f>
        <v>0.45806997408029476</v>
      </c>
      <c r="E33" s="47">
        <f t="shared" si="14"/>
        <v>0.66686455010694368</v>
      </c>
      <c r="F33" s="47">
        <f t="shared" si="14"/>
        <v>0.55639602887009254</v>
      </c>
      <c r="G33" s="47">
        <f t="shared" si="14"/>
        <v>0.43137413328267216</v>
      </c>
      <c r="H33" s="47">
        <f t="shared" si="14"/>
        <v>0.43275806031025399</v>
      </c>
      <c r="I33" s="47">
        <f t="shared" si="14"/>
        <v>0.43413990564420751</v>
      </c>
      <c r="J33" s="47">
        <f t="shared" si="14"/>
        <v>0.4355196660358881</v>
      </c>
      <c r="K33" s="47">
        <f t="shared" si="14"/>
        <v>0.43689733827043087</v>
      </c>
      <c r="L33" s="47">
        <f t="shared" si="14"/>
        <v>0.4382729191667154</v>
      </c>
      <c r="M33" s="47">
        <f t="shared" si="14"/>
        <v>0.43964640557732898</v>
      </c>
      <c r="N33" s="47">
        <f t="shared" si="14"/>
        <v>0.44101779438852973</v>
      </c>
      <c r="O33" s="47">
        <f t="shared" si="14"/>
        <v>0.4423870825202082</v>
      </c>
      <c r="P33" s="47">
        <f t="shared" si="14"/>
        <v>0.44375426692584813</v>
      </c>
      <c r="Q33" s="47">
        <f t="shared" si="14"/>
        <v>0.44511934459248653</v>
      </c>
      <c r="R33" s="47">
        <f t="shared" si="14"/>
        <v>0.44648231254067294</v>
      </c>
      <c r="S33" s="47">
        <f t="shared" si="14"/>
        <v>0.44784316782442646</v>
      </c>
      <c r="T33" s="47">
        <f t="shared" si="14"/>
        <v>0.44920190753119466</v>
      </c>
      <c r="U33" s="47">
        <f t="shared" si="14"/>
        <v>0.45055852878180852</v>
      </c>
      <c r="V33" s="47">
        <f t="shared" si="14"/>
        <v>0.45191302873043798</v>
      </c>
      <c r="W33" s="47">
        <f t="shared" si="14"/>
        <v>0.45326540456454689</v>
      </c>
      <c r="X33" s="47">
        <f t="shared" si="14"/>
        <v>0.4546156535048464</v>
      </c>
      <c r="Y33" s="47">
        <f t="shared" si="14"/>
        <v>0.45596377280524802</v>
      </c>
      <c r="Z33" s="47">
        <f t="shared" si="14"/>
        <v>0.45730975975281479</v>
      </c>
      <c r="AA33" s="47">
        <f t="shared" si="14"/>
        <v>0.45865361166771279</v>
      </c>
      <c r="AB33" s="47">
        <f t="shared" si="14"/>
        <v>0.45999532590316133</v>
      </c>
      <c r="AC33" s="47">
        <f t="shared" si="14"/>
        <v>0.46133489984538162</v>
      </c>
      <c r="AD33" s="47">
        <f t="shared" si="14"/>
        <v>0.46267233091354659</v>
      </c>
      <c r="AE33" s="47">
        <f t="shared" si="14"/>
        <v>0.46400761655972655</v>
      </c>
      <c r="AF33" s="47">
        <f t="shared" si="14"/>
        <v>0.46534075426883748</v>
      </c>
      <c r="AG33" s="47">
        <f t="shared" si="14"/>
        <v>0.46667174155858632</v>
      </c>
      <c r="AH33" s="47">
        <f t="shared" si="14"/>
        <v>0.46800057597941674</v>
      </c>
      <c r="AI33" s="47">
        <f t="shared" si="14"/>
        <v>0</v>
      </c>
      <c r="AJ33" s="47">
        <f t="shared" si="14"/>
        <v>0</v>
      </c>
      <c r="AK33" s="47">
        <f t="shared" si="14"/>
        <v>0</v>
      </c>
      <c r="AL33" s="47">
        <f t="shared" si="14"/>
        <v>0</v>
      </c>
      <c r="AM33" s="47">
        <f t="shared" si="14"/>
        <v>0</v>
      </c>
      <c r="AN33" s="47">
        <f t="shared" si="14"/>
        <v>0</v>
      </c>
    </row>
    <row r="34" spans="1:40" ht="12.75" customHeight="1">
      <c r="A34" s="36"/>
      <c r="B34" s="32"/>
      <c r="C34" s="32"/>
      <c r="D34" s="48"/>
      <c r="E34" s="49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</row>
    <row r="35" spans="1:40" ht="12.75" customHeight="1">
      <c r="A35" s="31" t="s">
        <v>141</v>
      </c>
      <c r="B35" s="32"/>
      <c r="C35" s="32"/>
      <c r="D35" s="33">
        <f>SUM(E35:AN35)</f>
        <v>-31147.130732000027</v>
      </c>
      <c r="E35" s="34">
        <f>Amt!D19</f>
        <v>-591.64398984444449</v>
      </c>
      <c r="F35" s="34">
        <f>Amt!E19</f>
        <v>-1053.6374738674331</v>
      </c>
      <c r="G35" s="34">
        <f>Amt!F19</f>
        <v>-1053.6374738674331</v>
      </c>
      <c r="H35" s="34">
        <f>Amt!G19</f>
        <v>-1053.6374738674331</v>
      </c>
      <c r="I35" s="34">
        <f>Amt!H19</f>
        <v>-1053.6374738674331</v>
      </c>
      <c r="J35" s="34">
        <f>Amt!I19</f>
        <v>-1053.6374738674331</v>
      </c>
      <c r="K35" s="34">
        <f>Amt!J19</f>
        <v>-1053.6374738674331</v>
      </c>
      <c r="L35" s="34">
        <f>Amt!K19</f>
        <v>-1053.6374738674331</v>
      </c>
      <c r="M35" s="34">
        <f>Amt!L19</f>
        <v>-1053.6374738674331</v>
      </c>
      <c r="N35" s="34">
        <f>Amt!M19</f>
        <v>-1053.6374738674331</v>
      </c>
      <c r="O35" s="34">
        <f>Amt!N19</f>
        <v>-1053.6374738674331</v>
      </c>
      <c r="P35" s="34">
        <f>Amt!O19</f>
        <v>-1053.6374738674331</v>
      </c>
      <c r="Q35" s="34">
        <f>Amt!P19</f>
        <v>-1053.6374738674331</v>
      </c>
      <c r="R35" s="34">
        <f>Amt!Q19</f>
        <v>-1053.6374738674331</v>
      </c>
      <c r="S35" s="34">
        <f>Amt!R19</f>
        <v>-1053.6374738674331</v>
      </c>
      <c r="T35" s="34">
        <f>Amt!S19</f>
        <v>-1053.6374738674331</v>
      </c>
      <c r="U35" s="34">
        <f>Amt!T19</f>
        <v>-1053.6374738674331</v>
      </c>
      <c r="V35" s="34">
        <f>Amt!U19</f>
        <v>-1053.6374738674331</v>
      </c>
      <c r="W35" s="34">
        <f>Amt!V19</f>
        <v>-1053.6374738674331</v>
      </c>
      <c r="X35" s="34">
        <f>Amt!W19</f>
        <v>-1053.6374738674331</v>
      </c>
      <c r="Y35" s="34">
        <f>Amt!X19</f>
        <v>-1053.6374738674331</v>
      </c>
      <c r="Z35" s="34">
        <f>Amt!Y19</f>
        <v>-1053.6374738674331</v>
      </c>
      <c r="AA35" s="34">
        <f>Amt!Z19</f>
        <v>-1053.6374738674331</v>
      </c>
      <c r="AB35" s="34">
        <f>Amt!AA19</f>
        <v>-1053.6374738674331</v>
      </c>
      <c r="AC35" s="34">
        <f>Amt!AB19</f>
        <v>-1053.6374738674331</v>
      </c>
      <c r="AD35" s="34">
        <f>Amt!AC19</f>
        <v>-1053.6374738674331</v>
      </c>
      <c r="AE35" s="34">
        <f>Amt!AD19</f>
        <v>-1053.6374738674331</v>
      </c>
      <c r="AF35" s="34">
        <f>Amt!AE19</f>
        <v>-1053.6374738674331</v>
      </c>
      <c r="AG35" s="34">
        <f>Amt!AF19</f>
        <v>-1053.6374738674331</v>
      </c>
      <c r="AH35" s="34">
        <f>Amt!AG19</f>
        <v>-1053.6374738674331</v>
      </c>
      <c r="AI35" s="34">
        <f>Amt!AH19</f>
        <v>0</v>
      </c>
      <c r="AJ35" s="34">
        <f>AI35</f>
        <v>0</v>
      </c>
      <c r="AK35" s="34">
        <f t="shared" ref="AK35:AM35" si="15">AJ35</f>
        <v>0</v>
      </c>
      <c r="AL35" s="34">
        <f t="shared" si="15"/>
        <v>0</v>
      </c>
      <c r="AM35" s="34">
        <f t="shared" si="15"/>
        <v>0</v>
      </c>
      <c r="AN35" s="34"/>
    </row>
    <row r="36" spans="1:40" ht="12.4" customHeight="1">
      <c r="A36" s="36"/>
      <c r="B36" s="32"/>
      <c r="C36" s="32"/>
      <c r="D36" s="49"/>
      <c r="E36" s="49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</row>
    <row r="37" spans="1:40" ht="12.75" customHeight="1">
      <c r="A37" s="617" t="s">
        <v>142</v>
      </c>
      <c r="B37" s="617"/>
      <c r="C37" s="617"/>
      <c r="D37" s="618">
        <f>SUM(E37:AN37)</f>
        <v>138446.55486182545</v>
      </c>
      <c r="E37" s="619">
        <f t="shared" ref="E37:AN37" si="16">E20+E24+E35</f>
        <v>4691.0763724281178</v>
      </c>
      <c r="F37" s="619">
        <f t="shared" si="16"/>
        <v>5530.7611605656994</v>
      </c>
      <c r="G37" s="619">
        <f t="shared" si="16"/>
        <v>4167.9083577653746</v>
      </c>
      <c r="H37" s="619">
        <f t="shared" si="16"/>
        <v>4197.5023604536327</v>
      </c>
      <c r="I37" s="619">
        <f t="shared" si="16"/>
        <v>4227.1969827510329</v>
      </c>
      <c r="J37" s="619">
        <f t="shared" si="16"/>
        <v>4256.9925667642437</v>
      </c>
      <c r="K37" s="619">
        <f t="shared" si="16"/>
        <v>4286.8894557630992</v>
      </c>
      <c r="L37" s="619">
        <f t="shared" si="16"/>
        <v>4316.8879941845507</v>
      </c>
      <c r="M37" s="619">
        <f t="shared" si="16"/>
        <v>4346.988527636634</v>
      </c>
      <c r="N37" s="619">
        <f t="shared" si="16"/>
        <v>4377.1914029024556</v>
      </c>
      <c r="O37" s="619">
        <f t="shared" si="16"/>
        <v>4407.4969679441811</v>
      </c>
      <c r="P37" s="619">
        <f t="shared" si="16"/>
        <v>4437.9055719070484</v>
      </c>
      <c r="Q37" s="619">
        <f t="shared" si="16"/>
        <v>4468.4175651233882</v>
      </c>
      <c r="R37" s="619">
        <f t="shared" si="16"/>
        <v>4499.033299116667</v>
      </c>
      <c r="S37" s="619">
        <f t="shared" si="16"/>
        <v>4529.7531266055175</v>
      </c>
      <c r="T37" s="619">
        <f t="shared" si="16"/>
        <v>4560.5774015078323</v>
      </c>
      <c r="U37" s="619">
        <f t="shared" si="16"/>
        <v>4591.5064789448179</v>
      </c>
      <c r="V37" s="619">
        <f t="shared" si="16"/>
        <v>4622.5407152450889</v>
      </c>
      <c r="W37" s="619">
        <f t="shared" si="16"/>
        <v>4653.6804679487786</v>
      </c>
      <c r="X37" s="619">
        <f t="shared" si="16"/>
        <v>4684.9260958116583</v>
      </c>
      <c r="Y37" s="619">
        <f t="shared" si="16"/>
        <v>4716.2779588092762</v>
      </c>
      <c r="Z37" s="619">
        <f t="shared" si="16"/>
        <v>4747.7364181410849</v>
      </c>
      <c r="AA37" s="619">
        <f t="shared" si="16"/>
        <v>4779.3018362346211</v>
      </c>
      <c r="AB37" s="619">
        <f t="shared" si="16"/>
        <v>4810.974576749677</v>
      </c>
      <c r="AC37" s="619">
        <f t="shared" si="16"/>
        <v>4842.7550045824792</v>
      </c>
      <c r="AD37" s="619">
        <f t="shared" si="16"/>
        <v>4874.6434858699185</v>
      </c>
      <c r="AE37" s="619">
        <f t="shared" si="16"/>
        <v>4906.6403879937334</v>
      </c>
      <c r="AF37" s="619">
        <f t="shared" si="16"/>
        <v>4938.7460795847683</v>
      </c>
      <c r="AG37" s="619">
        <f t="shared" si="16"/>
        <v>4970.9609305272088</v>
      </c>
      <c r="AH37" s="619">
        <f t="shared" si="16"/>
        <v>5003.2853119628626</v>
      </c>
      <c r="AI37" s="619">
        <f t="shared" si="16"/>
        <v>0</v>
      </c>
      <c r="AJ37" s="619">
        <f t="shared" si="16"/>
        <v>0</v>
      </c>
      <c r="AK37" s="619">
        <f t="shared" si="16"/>
        <v>0</v>
      </c>
      <c r="AL37" s="619">
        <f t="shared" si="16"/>
        <v>0</v>
      </c>
      <c r="AM37" s="619">
        <f t="shared" si="16"/>
        <v>0</v>
      </c>
      <c r="AN37" s="619">
        <f t="shared" si="16"/>
        <v>0</v>
      </c>
    </row>
    <row r="38" spans="1:40" ht="12.75" customHeight="1">
      <c r="A38" s="199"/>
      <c r="B38" s="199"/>
      <c r="C38" s="199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</row>
    <row r="39" spans="1:40" ht="12.75" customHeight="1">
      <c r="A39" s="617" t="s">
        <v>143</v>
      </c>
      <c r="B39" s="617"/>
      <c r="C39" s="617"/>
      <c r="D39" s="618">
        <f t="shared" ref="D39:AD39" si="17">SUM(D40:D40)</f>
        <v>0</v>
      </c>
      <c r="E39" s="619">
        <f t="shared" si="17"/>
        <v>0</v>
      </c>
      <c r="F39" s="619">
        <f t="shared" si="17"/>
        <v>0</v>
      </c>
      <c r="G39" s="619">
        <f t="shared" si="17"/>
        <v>0</v>
      </c>
      <c r="H39" s="619">
        <f t="shared" si="17"/>
        <v>0</v>
      </c>
      <c r="I39" s="619">
        <f t="shared" si="17"/>
        <v>0</v>
      </c>
      <c r="J39" s="619">
        <f t="shared" si="17"/>
        <v>0</v>
      </c>
      <c r="K39" s="619">
        <f t="shared" si="17"/>
        <v>0</v>
      </c>
      <c r="L39" s="619">
        <f t="shared" si="17"/>
        <v>0</v>
      </c>
      <c r="M39" s="619">
        <f t="shared" si="17"/>
        <v>0</v>
      </c>
      <c r="N39" s="619">
        <f t="shared" si="17"/>
        <v>0</v>
      </c>
      <c r="O39" s="619">
        <f t="shared" si="17"/>
        <v>0</v>
      </c>
      <c r="P39" s="619">
        <f t="shared" si="17"/>
        <v>0</v>
      </c>
      <c r="Q39" s="619">
        <f t="shared" si="17"/>
        <v>0</v>
      </c>
      <c r="R39" s="619">
        <f t="shared" si="17"/>
        <v>0</v>
      </c>
      <c r="S39" s="619">
        <f t="shared" si="17"/>
        <v>0</v>
      </c>
      <c r="T39" s="619">
        <f t="shared" si="17"/>
        <v>0</v>
      </c>
      <c r="U39" s="619">
        <f t="shared" si="17"/>
        <v>0</v>
      </c>
      <c r="V39" s="619">
        <f t="shared" si="17"/>
        <v>0</v>
      </c>
      <c r="W39" s="619">
        <f t="shared" si="17"/>
        <v>0</v>
      </c>
      <c r="X39" s="619">
        <f t="shared" si="17"/>
        <v>0</v>
      </c>
      <c r="Y39" s="619">
        <f t="shared" si="17"/>
        <v>0</v>
      </c>
      <c r="Z39" s="619">
        <f t="shared" si="17"/>
        <v>0</v>
      </c>
      <c r="AA39" s="619">
        <f t="shared" si="17"/>
        <v>0</v>
      </c>
      <c r="AB39" s="619">
        <f t="shared" si="17"/>
        <v>0</v>
      </c>
      <c r="AC39" s="619">
        <f t="shared" si="17"/>
        <v>0</v>
      </c>
      <c r="AD39" s="619">
        <f t="shared" si="17"/>
        <v>0</v>
      </c>
      <c r="AE39" s="619"/>
      <c r="AF39" s="619"/>
      <c r="AG39" s="619"/>
      <c r="AH39" s="619"/>
      <c r="AI39" s="619"/>
      <c r="AJ39" s="619"/>
      <c r="AK39" s="619"/>
      <c r="AL39" s="619"/>
      <c r="AM39" s="619"/>
      <c r="AN39" s="619"/>
    </row>
    <row r="40" spans="1:40" s="141" customFormat="1" ht="12.75" customHeight="1">
      <c r="A40" s="202" t="s">
        <v>144</v>
      </c>
      <c r="B40" s="203"/>
      <c r="C40" s="32"/>
      <c r="D40" s="196"/>
      <c r="E40" s="46">
        <f>Financiamento!E14</f>
        <v>0</v>
      </c>
      <c r="F40" s="46">
        <f>Financiamento!F14</f>
        <v>0</v>
      </c>
      <c r="G40" s="46">
        <f>Financiamento!G14</f>
        <v>0</v>
      </c>
      <c r="H40" s="46">
        <f>Financiamento!H14</f>
        <v>0</v>
      </c>
      <c r="I40" s="46">
        <f>Financiamento!I14</f>
        <v>0</v>
      </c>
      <c r="J40" s="46">
        <f>Financiamento!J14</f>
        <v>0</v>
      </c>
      <c r="K40" s="46">
        <f>Financiamento!K14</f>
        <v>0</v>
      </c>
      <c r="L40" s="46">
        <f>Financiamento!L14</f>
        <v>0</v>
      </c>
      <c r="M40" s="46">
        <f>Financiamento!M14</f>
        <v>0</v>
      </c>
      <c r="N40" s="46">
        <f>Financiamento!N14</f>
        <v>0</v>
      </c>
      <c r="O40" s="46">
        <f>Financiamento!O14</f>
        <v>0</v>
      </c>
      <c r="P40" s="46">
        <f>Financiamento!P14</f>
        <v>0</v>
      </c>
      <c r="Q40" s="46">
        <f>Financiamento!Q14</f>
        <v>0</v>
      </c>
      <c r="R40" s="46">
        <f>Financiamento!R14</f>
        <v>0</v>
      </c>
      <c r="S40" s="46">
        <f>Financiamento!S14</f>
        <v>0</v>
      </c>
      <c r="T40" s="46">
        <f>Financiamento!T14</f>
        <v>0</v>
      </c>
      <c r="U40" s="46">
        <f>Financiamento!U14</f>
        <v>0</v>
      </c>
      <c r="V40" s="46">
        <f>Financiamento!V14</f>
        <v>0</v>
      </c>
      <c r="W40" s="46">
        <f>Financiamento!W14</f>
        <v>0</v>
      </c>
      <c r="X40" s="46">
        <f>Financiamento!X14</f>
        <v>0</v>
      </c>
      <c r="Y40" s="46">
        <f>Financiamento!Y14</f>
        <v>0</v>
      </c>
      <c r="Z40" s="46">
        <f>Financiamento!Z14</f>
        <v>0</v>
      </c>
      <c r="AA40" s="46">
        <f>Financiamento!AA14</f>
        <v>0</v>
      </c>
      <c r="AB40" s="46">
        <f>Financiamento!AB14</f>
        <v>0</v>
      </c>
      <c r="AC40" s="46">
        <f>Financiamento!AC14</f>
        <v>0</v>
      </c>
      <c r="AD40" s="46">
        <f>Financiamento!AD14</f>
        <v>0</v>
      </c>
      <c r="AE40" s="46">
        <f>Financiamento!AE14</f>
        <v>0</v>
      </c>
      <c r="AF40" s="46">
        <f>Financiamento!AF14</f>
        <v>0</v>
      </c>
      <c r="AG40" s="46">
        <f>Financiamento!AG14</f>
        <v>0</v>
      </c>
      <c r="AH40" s="46">
        <f>Financiamento!AH14</f>
        <v>0</v>
      </c>
      <c r="AI40" s="36"/>
      <c r="AJ40" s="36"/>
      <c r="AK40" s="36"/>
      <c r="AL40" s="36"/>
      <c r="AM40" s="36"/>
      <c r="AN40" s="36"/>
    </row>
    <row r="41" spans="1:40" ht="12.75" customHeight="1">
      <c r="A41" s="36"/>
      <c r="B41" s="36"/>
      <c r="C41" s="36"/>
      <c r="D41" s="5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</row>
    <row r="42" spans="1:40" ht="12.75" customHeight="1">
      <c r="A42" s="617" t="s">
        <v>145</v>
      </c>
      <c r="B42" s="617"/>
      <c r="C42" s="617"/>
      <c r="D42" s="618">
        <f>SUM(E42:AN42)</f>
        <v>138446.55486182545</v>
      </c>
      <c r="E42" s="619">
        <f t="shared" ref="E42:AN42" si="18">E37</f>
        <v>4691.0763724281178</v>
      </c>
      <c r="F42" s="619">
        <f t="shared" si="18"/>
        <v>5530.7611605656994</v>
      </c>
      <c r="G42" s="619">
        <f t="shared" si="18"/>
        <v>4167.9083577653746</v>
      </c>
      <c r="H42" s="619">
        <f t="shared" si="18"/>
        <v>4197.5023604536327</v>
      </c>
      <c r="I42" s="619">
        <f t="shared" si="18"/>
        <v>4227.1969827510329</v>
      </c>
      <c r="J42" s="619">
        <f t="shared" si="18"/>
        <v>4256.9925667642437</v>
      </c>
      <c r="K42" s="619">
        <f t="shared" si="18"/>
        <v>4286.8894557630992</v>
      </c>
      <c r="L42" s="619">
        <f t="shared" si="18"/>
        <v>4316.8879941845507</v>
      </c>
      <c r="M42" s="619">
        <f t="shared" si="18"/>
        <v>4346.988527636634</v>
      </c>
      <c r="N42" s="619">
        <f t="shared" si="18"/>
        <v>4377.1914029024556</v>
      </c>
      <c r="O42" s="619">
        <f t="shared" si="18"/>
        <v>4407.4969679441811</v>
      </c>
      <c r="P42" s="619">
        <f t="shared" si="18"/>
        <v>4437.9055719070484</v>
      </c>
      <c r="Q42" s="619">
        <f t="shared" si="18"/>
        <v>4468.4175651233882</v>
      </c>
      <c r="R42" s="619">
        <f t="shared" si="18"/>
        <v>4499.033299116667</v>
      </c>
      <c r="S42" s="619">
        <f t="shared" si="18"/>
        <v>4529.7531266055175</v>
      </c>
      <c r="T42" s="619">
        <f t="shared" si="18"/>
        <v>4560.5774015078323</v>
      </c>
      <c r="U42" s="619">
        <f t="shared" si="18"/>
        <v>4591.5064789448179</v>
      </c>
      <c r="V42" s="619">
        <f t="shared" si="18"/>
        <v>4622.5407152450889</v>
      </c>
      <c r="W42" s="619">
        <f t="shared" si="18"/>
        <v>4653.6804679487786</v>
      </c>
      <c r="X42" s="619">
        <f t="shared" si="18"/>
        <v>4684.9260958116583</v>
      </c>
      <c r="Y42" s="619">
        <f t="shared" si="18"/>
        <v>4716.2779588092762</v>
      </c>
      <c r="Z42" s="619">
        <f t="shared" si="18"/>
        <v>4747.7364181410849</v>
      </c>
      <c r="AA42" s="619">
        <f t="shared" si="18"/>
        <v>4779.3018362346211</v>
      </c>
      <c r="AB42" s="619">
        <f t="shared" si="18"/>
        <v>4810.974576749677</v>
      </c>
      <c r="AC42" s="619">
        <f t="shared" si="18"/>
        <v>4842.7550045824792</v>
      </c>
      <c r="AD42" s="619">
        <f t="shared" si="18"/>
        <v>4874.6434858699185</v>
      </c>
      <c r="AE42" s="619">
        <f t="shared" si="18"/>
        <v>4906.6403879937334</v>
      </c>
      <c r="AF42" s="619">
        <f t="shared" si="18"/>
        <v>4938.7460795847683</v>
      </c>
      <c r="AG42" s="619">
        <f t="shared" si="18"/>
        <v>4970.9609305272088</v>
      </c>
      <c r="AH42" s="619">
        <f t="shared" si="18"/>
        <v>5003.2853119628626</v>
      </c>
      <c r="AI42" s="619">
        <f t="shared" si="18"/>
        <v>0</v>
      </c>
      <c r="AJ42" s="619">
        <f t="shared" si="18"/>
        <v>0</v>
      </c>
      <c r="AK42" s="619">
        <f t="shared" si="18"/>
        <v>0</v>
      </c>
      <c r="AL42" s="619">
        <f t="shared" si="18"/>
        <v>0</v>
      </c>
      <c r="AM42" s="619">
        <f t="shared" si="18"/>
        <v>0</v>
      </c>
      <c r="AN42" s="619">
        <f t="shared" si="18"/>
        <v>0</v>
      </c>
    </row>
    <row r="43" spans="1:40" ht="12.75" customHeight="1">
      <c r="A43" s="39" t="s">
        <v>146</v>
      </c>
      <c r="B43" s="32"/>
      <c r="C43" s="32"/>
      <c r="D43" s="53"/>
      <c r="E43" s="47">
        <f t="shared" ref="E43:AN43" si="19">IFERROR(E42/E$20,0)</f>
        <v>0.59217833239062989</v>
      </c>
      <c r="F43" s="47">
        <f t="shared" si="19"/>
        <v>0.46736136695536379</v>
      </c>
      <c r="G43" s="47">
        <f t="shared" si="19"/>
        <v>0.34432865542241564</v>
      </c>
      <c r="H43" s="47">
        <f t="shared" si="19"/>
        <v>0.34592546322706857</v>
      </c>
      <c r="I43" s="47">
        <f t="shared" si="19"/>
        <v>0.34751986912427518</v>
      </c>
      <c r="J43" s="47">
        <f t="shared" si="19"/>
        <v>0.3491118693656724</v>
      </c>
      <c r="K43" s="47">
        <f t="shared" si="19"/>
        <v>0.35070146024187299</v>
      </c>
      <c r="L43" s="47">
        <f t="shared" si="19"/>
        <v>0.35228863808242467</v>
      </c>
      <c r="M43" s="47">
        <f t="shared" si="19"/>
        <v>0.35387339925576816</v>
      </c>
      <c r="N43" s="47">
        <f t="shared" si="19"/>
        <v>0.35545574016919435</v>
      </c>
      <c r="O43" s="47">
        <f t="shared" si="19"/>
        <v>0.35703565726879982</v>
      </c>
      <c r="P43" s="47">
        <f t="shared" si="19"/>
        <v>0.35861314703944197</v>
      </c>
      <c r="Q43" s="47">
        <f t="shared" si="19"/>
        <v>0.36018820600469265</v>
      </c>
      <c r="R43" s="47">
        <f t="shared" si="19"/>
        <v>0.36176083072679133</v>
      </c>
      <c r="S43" s="47">
        <f t="shared" si="19"/>
        <v>0.36333101780659544</v>
      </c>
      <c r="T43" s="47">
        <f t="shared" si="19"/>
        <v>0.36489876388353293</v>
      </c>
      <c r="U43" s="47">
        <f t="shared" si="19"/>
        <v>0.36646406563555034</v>
      </c>
      <c r="V43" s="47">
        <f t="shared" si="19"/>
        <v>0.3680269197790616</v>
      </c>
      <c r="W43" s="47">
        <f t="shared" si="19"/>
        <v>0.36958732306889569</v>
      </c>
      <c r="X43" s="47">
        <f t="shared" si="19"/>
        <v>0.37114527229824334</v>
      </c>
      <c r="Y43" s="47">
        <f t="shared" si="19"/>
        <v>0.3727007642986026</v>
      </c>
      <c r="Z43" s="47">
        <f t="shared" si="19"/>
        <v>0.37425379593972241</v>
      </c>
      <c r="AA43" s="47">
        <f t="shared" si="19"/>
        <v>0.37580436412954693</v>
      </c>
      <c r="AB43" s="47">
        <f t="shared" si="19"/>
        <v>0.37735246581415788</v>
      </c>
      <c r="AC43" s="47">
        <f t="shared" si="19"/>
        <v>0.37889809797771534</v>
      </c>
      <c r="AD43" s="47">
        <f t="shared" si="19"/>
        <v>0.38044125764239983</v>
      </c>
      <c r="AE43" s="47">
        <f t="shared" si="19"/>
        <v>0.38198194186834977</v>
      </c>
      <c r="AF43" s="47">
        <f t="shared" si="19"/>
        <v>0.38352014775360155</v>
      </c>
      <c r="AG43" s="47">
        <f t="shared" si="19"/>
        <v>0.38505587243402656</v>
      </c>
      <c r="AH43" s="47">
        <f t="shared" si="19"/>
        <v>0.38658911308326876</v>
      </c>
      <c r="AI43" s="47">
        <f t="shared" si="19"/>
        <v>0</v>
      </c>
      <c r="AJ43" s="47">
        <f t="shared" si="19"/>
        <v>0</v>
      </c>
      <c r="AK43" s="47">
        <f t="shared" si="19"/>
        <v>0</v>
      </c>
      <c r="AL43" s="47">
        <f t="shared" si="19"/>
        <v>0</v>
      </c>
      <c r="AM43" s="47">
        <f t="shared" si="19"/>
        <v>0</v>
      </c>
      <c r="AN43" s="47">
        <f t="shared" si="19"/>
        <v>0</v>
      </c>
    </row>
    <row r="44" spans="1:40" ht="12.75" customHeight="1">
      <c r="A44" s="39" t="s">
        <v>147</v>
      </c>
      <c r="B44" s="32"/>
      <c r="C44" s="32"/>
      <c r="D44" s="618">
        <f>SUM(E44:AH44)</f>
        <v>138446.55486182545</v>
      </c>
      <c r="E44" s="46">
        <f>E39+E37</f>
        <v>4691.0763724281178</v>
      </c>
      <c r="F44" s="46">
        <f t="shared" ref="F44:AM44" si="20">F39+F37</f>
        <v>5530.7611605656994</v>
      </c>
      <c r="G44" s="46">
        <f t="shared" si="20"/>
        <v>4167.9083577653746</v>
      </c>
      <c r="H44" s="46">
        <f t="shared" si="20"/>
        <v>4197.5023604536327</v>
      </c>
      <c r="I44" s="46">
        <f t="shared" si="20"/>
        <v>4227.1969827510329</v>
      </c>
      <c r="J44" s="46">
        <f t="shared" si="20"/>
        <v>4256.9925667642437</v>
      </c>
      <c r="K44" s="46">
        <f t="shared" si="20"/>
        <v>4286.8894557630992</v>
      </c>
      <c r="L44" s="46">
        <f t="shared" si="20"/>
        <v>4316.8879941845507</v>
      </c>
      <c r="M44" s="46">
        <f t="shared" si="20"/>
        <v>4346.988527636634</v>
      </c>
      <c r="N44" s="46">
        <f t="shared" si="20"/>
        <v>4377.1914029024556</v>
      </c>
      <c r="O44" s="46">
        <f t="shared" si="20"/>
        <v>4407.4969679441811</v>
      </c>
      <c r="P44" s="46">
        <f t="shared" si="20"/>
        <v>4437.9055719070484</v>
      </c>
      <c r="Q44" s="46">
        <f t="shared" si="20"/>
        <v>4468.4175651233882</v>
      </c>
      <c r="R44" s="46">
        <f t="shared" si="20"/>
        <v>4499.033299116667</v>
      </c>
      <c r="S44" s="46">
        <f t="shared" si="20"/>
        <v>4529.7531266055175</v>
      </c>
      <c r="T44" s="46">
        <f t="shared" si="20"/>
        <v>4560.5774015078323</v>
      </c>
      <c r="U44" s="46">
        <f t="shared" si="20"/>
        <v>4591.5064789448179</v>
      </c>
      <c r="V44" s="46">
        <f t="shared" si="20"/>
        <v>4622.5407152450889</v>
      </c>
      <c r="W44" s="46">
        <f t="shared" si="20"/>
        <v>4653.6804679487786</v>
      </c>
      <c r="X44" s="46">
        <f t="shared" si="20"/>
        <v>4684.9260958116583</v>
      </c>
      <c r="Y44" s="46">
        <f t="shared" si="20"/>
        <v>4716.2779588092762</v>
      </c>
      <c r="Z44" s="46">
        <f t="shared" si="20"/>
        <v>4747.7364181410849</v>
      </c>
      <c r="AA44" s="46">
        <f t="shared" si="20"/>
        <v>4779.3018362346211</v>
      </c>
      <c r="AB44" s="46">
        <f t="shared" si="20"/>
        <v>4810.974576749677</v>
      </c>
      <c r="AC44" s="46">
        <f t="shared" si="20"/>
        <v>4842.7550045824792</v>
      </c>
      <c r="AD44" s="46">
        <f t="shared" si="20"/>
        <v>4874.6434858699185</v>
      </c>
      <c r="AE44" s="46">
        <f t="shared" si="20"/>
        <v>4906.6403879937334</v>
      </c>
      <c r="AF44" s="46">
        <f t="shared" si="20"/>
        <v>4938.7460795847683</v>
      </c>
      <c r="AG44" s="46">
        <f t="shared" si="20"/>
        <v>4970.9609305272088</v>
      </c>
      <c r="AH44" s="46">
        <f t="shared" si="20"/>
        <v>5003.2853119628626</v>
      </c>
      <c r="AI44" s="46">
        <f t="shared" si="20"/>
        <v>0</v>
      </c>
      <c r="AJ44" s="46">
        <f t="shared" si="20"/>
        <v>0</v>
      </c>
      <c r="AK44" s="46">
        <f t="shared" si="20"/>
        <v>0</v>
      </c>
      <c r="AL44" s="46">
        <f t="shared" si="20"/>
        <v>0</v>
      </c>
      <c r="AM44" s="46">
        <f t="shared" si="20"/>
        <v>0</v>
      </c>
      <c r="AN44" s="46"/>
    </row>
    <row r="45" spans="1:40" ht="12.75" customHeight="1">
      <c r="A45" s="39"/>
      <c r="B45" s="32"/>
      <c r="C45" s="32"/>
      <c r="D45" s="48"/>
      <c r="E45" s="49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</row>
    <row r="46" spans="1:40" ht="12.75" customHeight="1">
      <c r="A46" s="54" t="s">
        <v>148</v>
      </c>
      <c r="B46" s="54"/>
      <c r="C46" s="54"/>
      <c r="D46" s="33">
        <f>SUM(E46:AN46)</f>
        <v>-42714.199331832984</v>
      </c>
      <c r="E46" s="55">
        <f t="shared" ref="E46:AN46" si="21">SUM(E47:E48)</f>
        <v>-588.64697841360169</v>
      </c>
      <c r="F46" s="55">
        <f t="shared" si="21"/>
        <v>-1054.6093601930402</v>
      </c>
      <c r="G46" s="55">
        <f t="shared" si="21"/>
        <v>-1417.6682640831411</v>
      </c>
      <c r="H46" s="55">
        <f t="shared" si="21"/>
        <v>-1421.2026909072363</v>
      </c>
      <c r="I46" s="55">
        <f t="shared" si="21"/>
        <v>-1424.7491347825335</v>
      </c>
      <c r="J46" s="55">
        <f t="shared" si="21"/>
        <v>-1428.307636567007</v>
      </c>
      <c r="K46" s="55">
        <f t="shared" si="21"/>
        <v>-1431.8782372575474</v>
      </c>
      <c r="L46" s="55">
        <f t="shared" si="21"/>
        <v>-1435.4609779904358</v>
      </c>
      <c r="M46" s="55">
        <f t="shared" si="21"/>
        <v>-1439.0559000418157</v>
      </c>
      <c r="N46" s="55">
        <f t="shared" si="21"/>
        <v>-1442.6630448281703</v>
      </c>
      <c r="O46" s="55">
        <f t="shared" si="21"/>
        <v>-1446.282453906799</v>
      </c>
      <c r="P46" s="55">
        <f t="shared" si="21"/>
        <v>-1449.9141689762946</v>
      </c>
      <c r="Q46" s="55">
        <f t="shared" si="21"/>
        <v>-1453.5582318770266</v>
      </c>
      <c r="R46" s="55">
        <f t="shared" si="21"/>
        <v>-1457.2146845916213</v>
      </c>
      <c r="S46" s="55">
        <f t="shared" si="21"/>
        <v>-1460.8835692454452</v>
      </c>
      <c r="T46" s="55">
        <f t="shared" si="21"/>
        <v>-1464.5649281070923</v>
      </c>
      <c r="U46" s="55">
        <f t="shared" si="21"/>
        <v>-1468.2588035888693</v>
      </c>
      <c r="V46" s="55">
        <f t="shared" si="21"/>
        <v>-1471.9652382472841</v>
      </c>
      <c r="W46" s="55">
        <f t="shared" si="21"/>
        <v>-1475.6842747835376</v>
      </c>
      <c r="X46" s="55">
        <f t="shared" si="21"/>
        <v>-1479.4159560440141</v>
      </c>
      <c r="Y46" s="55">
        <f t="shared" si="21"/>
        <v>-1483.1603250207766</v>
      </c>
      <c r="Z46" s="55">
        <f t="shared" si="21"/>
        <v>-1486.9174248520599</v>
      </c>
      <c r="AA46" s="55">
        <f t="shared" si="21"/>
        <v>-1490.6872988227692</v>
      </c>
      <c r="AB46" s="55">
        <f t="shared" si="21"/>
        <v>-1494.4699903649794</v>
      </c>
      <c r="AC46" s="55">
        <f t="shared" si="21"/>
        <v>-1498.2655430584327</v>
      </c>
      <c r="AD46" s="55">
        <f t="shared" si="21"/>
        <v>-1502.0740006310443</v>
      </c>
      <c r="AE46" s="55">
        <f t="shared" si="21"/>
        <v>-1505.8954069594024</v>
      </c>
      <c r="AF46" s="55">
        <f t="shared" si="21"/>
        <v>-1509.7298060692769</v>
      </c>
      <c r="AG46" s="55">
        <f t="shared" si="21"/>
        <v>-1513.5772421361248</v>
      </c>
      <c r="AH46" s="55">
        <f t="shared" si="21"/>
        <v>-1517.4377594856007</v>
      </c>
      <c r="AI46" s="55">
        <f t="shared" si="21"/>
        <v>0</v>
      </c>
      <c r="AJ46" s="55">
        <f t="shared" si="21"/>
        <v>0</v>
      </c>
      <c r="AK46" s="55">
        <f t="shared" si="21"/>
        <v>0</v>
      </c>
      <c r="AL46" s="55">
        <f t="shared" si="21"/>
        <v>0</v>
      </c>
      <c r="AM46" s="55">
        <f t="shared" si="21"/>
        <v>0</v>
      </c>
      <c r="AN46" s="55">
        <f t="shared" si="21"/>
        <v>0</v>
      </c>
    </row>
    <row r="47" spans="1:40" ht="12.75" customHeight="1">
      <c r="A47" s="39" t="s">
        <v>149</v>
      </c>
      <c r="B47" s="35"/>
      <c r="C47" s="35"/>
      <c r="D47" s="33">
        <f>SUM(E47:AN47)</f>
        <v>-31216.911273406618</v>
      </c>
      <c r="E47" s="40">
        <f>Tributos!E14</f>
        <v>-426.47571942176597</v>
      </c>
      <c r="F47" s="40">
        <f>Tributos!F14</f>
        <v>-769.09511778900014</v>
      </c>
      <c r="G47" s="40">
        <f>Tributos!G14</f>
        <v>-1036.0501941787802</v>
      </c>
      <c r="H47" s="40">
        <f>Tributos!H14</f>
        <v>-1038.6490374317914</v>
      </c>
      <c r="I47" s="40">
        <f>Tributos!I14</f>
        <v>-1041.2567167518628</v>
      </c>
      <c r="J47" s="40">
        <f>Tributos!J14</f>
        <v>-1043.8732621816227</v>
      </c>
      <c r="K47" s="40">
        <f>Tributos!K14</f>
        <v>-1046.4987038658437</v>
      </c>
      <c r="L47" s="40">
        <f>Tributos!L14</f>
        <v>-1049.133072051791</v>
      </c>
      <c r="M47" s="40">
        <f>Tributos!M14</f>
        <v>-1051.7763970895703</v>
      </c>
      <c r="N47" s="40">
        <f>Tributos!N14</f>
        <v>-1054.4287094324782</v>
      </c>
      <c r="O47" s="40">
        <f>Tributos!O14</f>
        <v>-1057.0900396373522</v>
      </c>
      <c r="P47" s="40">
        <f>Tributos!P14</f>
        <v>-1059.7604183649225</v>
      </c>
      <c r="Q47" s="40">
        <f>Tributos!Q14</f>
        <v>-1062.4398763801667</v>
      </c>
      <c r="R47" s="40">
        <f>Tributos!R14</f>
        <v>-1065.1284445526628</v>
      </c>
      <c r="S47" s="40">
        <f>Tributos!S14</f>
        <v>-1067.826153856945</v>
      </c>
      <c r="T47" s="40">
        <f>Tributos!T14</f>
        <v>-1070.5330353728621</v>
      </c>
      <c r="U47" s="40">
        <f>Tributos!U14</f>
        <v>-1073.2491202859333</v>
      </c>
      <c r="V47" s="40">
        <f>Tributos!V14</f>
        <v>-1075.974439887709</v>
      </c>
      <c r="W47" s="40">
        <f>Tributos!W14</f>
        <v>-1078.7090255761307</v>
      </c>
      <c r="X47" s="40">
        <f>Tributos!X14</f>
        <v>-1081.4529088558927</v>
      </c>
      <c r="Y47" s="40">
        <f>Tributos!Y14</f>
        <v>-1084.2061213388063</v>
      </c>
      <c r="Z47" s="40">
        <f>Tributos!Z14</f>
        <v>-1086.9686947441617</v>
      </c>
      <c r="AA47" s="40">
        <f>Tributos!AA14</f>
        <v>-1089.740660899095</v>
      </c>
      <c r="AB47" s="40">
        <f>Tributos!AB14</f>
        <v>-1092.5220517389555</v>
      </c>
      <c r="AC47" s="40">
        <f>Tributos!AC14</f>
        <v>-1095.3128993076712</v>
      </c>
      <c r="AD47" s="40">
        <f>Tributos!AD14</f>
        <v>-1098.1132357581209</v>
      </c>
      <c r="AE47" s="40">
        <f>Tributos!AE14</f>
        <v>-1100.9230933525018</v>
      </c>
      <c r="AF47" s="40">
        <f>Tributos!AF14</f>
        <v>-1103.7425044627037</v>
      </c>
      <c r="AG47" s="40">
        <f>Tributos!AG14</f>
        <v>-1106.5715015706801</v>
      </c>
      <c r="AH47" s="40">
        <f>Tributos!AH14</f>
        <v>-1109.410117268824</v>
      </c>
      <c r="AI47" s="40">
        <f>Tributos!AI14</f>
        <v>0</v>
      </c>
      <c r="AJ47" s="40">
        <f>Tributos!AJ14</f>
        <v>0</v>
      </c>
      <c r="AK47" s="40">
        <f>Tributos!AK14</f>
        <v>0</v>
      </c>
      <c r="AL47" s="40">
        <f>Tributos!AL14</f>
        <v>0</v>
      </c>
      <c r="AM47" s="40">
        <f>Tributos!AM14</f>
        <v>0</v>
      </c>
      <c r="AN47" s="40">
        <f>Tributos!AN14</f>
        <v>0</v>
      </c>
    </row>
    <row r="48" spans="1:40" ht="12.75" customHeight="1">
      <c r="A48" s="39" t="s">
        <v>150</v>
      </c>
      <c r="B48" s="35"/>
      <c r="C48" s="35"/>
      <c r="D48" s="33">
        <f>SUM(E48:AN48)</f>
        <v>-11497.288058426377</v>
      </c>
      <c r="E48" s="40">
        <f>Tributos!E15</f>
        <v>-162.17125899183574</v>
      </c>
      <c r="F48" s="40">
        <f>Tributos!F15</f>
        <v>-285.51424240404003</v>
      </c>
      <c r="G48" s="40">
        <f>Tributos!G15</f>
        <v>-381.61806990436088</v>
      </c>
      <c r="H48" s="40">
        <f>Tributos!H15</f>
        <v>-382.55365347544489</v>
      </c>
      <c r="I48" s="40">
        <f>Tributos!I15</f>
        <v>-383.49241803067059</v>
      </c>
      <c r="J48" s="40">
        <f>Tributos!J15</f>
        <v>-384.43437438538416</v>
      </c>
      <c r="K48" s="40">
        <f>Tributos!K15</f>
        <v>-385.37953339170372</v>
      </c>
      <c r="L48" s="40">
        <f>Tributos!L15</f>
        <v>-386.32790593864473</v>
      </c>
      <c r="M48" s="40">
        <f>Tributos!M15</f>
        <v>-387.27950295224531</v>
      </c>
      <c r="N48" s="40">
        <f>Tributos!N15</f>
        <v>-388.23433539569214</v>
      </c>
      <c r="O48" s="40">
        <f>Tributos!O15</f>
        <v>-389.19241426944677</v>
      </c>
      <c r="P48" s="40">
        <f>Tributos!P15</f>
        <v>-390.15375061137212</v>
      </c>
      <c r="Q48" s="40">
        <f>Tributos!Q15</f>
        <v>-391.11835549685998</v>
      </c>
      <c r="R48" s="40">
        <f>Tributos!R15</f>
        <v>-392.08624003895858</v>
      </c>
      <c r="S48" s="40">
        <f>Tributos!S15</f>
        <v>-393.0574153885002</v>
      </c>
      <c r="T48" s="40">
        <f>Tributos!T15</f>
        <v>-394.03189273423033</v>
      </c>
      <c r="U48" s="40">
        <f>Tributos!U15</f>
        <v>-395.00968330293597</v>
      </c>
      <c r="V48" s="40">
        <f>Tributos!V15</f>
        <v>-395.99079835957519</v>
      </c>
      <c r="W48" s="40">
        <f>Tributos!W15</f>
        <v>-396.97524920740705</v>
      </c>
      <c r="X48" s="40">
        <f>Tributos!X15</f>
        <v>-397.96304718812138</v>
      </c>
      <c r="Y48" s="40">
        <f>Tributos!Y15</f>
        <v>-398.95420368197023</v>
      </c>
      <c r="Z48" s="40">
        <f>Tributos!Z15</f>
        <v>-399.9487301078982</v>
      </c>
      <c r="AA48" s="40">
        <f>Tributos!AA15</f>
        <v>-400.94663792367419</v>
      </c>
      <c r="AB48" s="40">
        <f>Tributos!AB15</f>
        <v>-401.94793862602398</v>
      </c>
      <c r="AC48" s="40">
        <f>Tributos!AC15</f>
        <v>-402.95264375076158</v>
      </c>
      <c r="AD48" s="40">
        <f>Tributos!AD15</f>
        <v>-403.96076487292351</v>
      </c>
      <c r="AE48" s="40">
        <f>Tributos!AE15</f>
        <v>-404.97231360690063</v>
      </c>
      <c r="AF48" s="40">
        <f>Tributos!AF15</f>
        <v>-405.98730160657328</v>
      </c>
      <c r="AG48" s="40">
        <f>Tributos!AG15</f>
        <v>-407.0057405654448</v>
      </c>
      <c r="AH48" s="40">
        <f>Tributos!AH15</f>
        <v>-408.02764221677666</v>
      </c>
      <c r="AI48" s="40">
        <f>Tributos!AI15</f>
        <v>0</v>
      </c>
      <c r="AJ48" s="40">
        <f>Tributos!AJ15</f>
        <v>0</v>
      </c>
      <c r="AK48" s="40">
        <f>Tributos!AK15</f>
        <v>0</v>
      </c>
      <c r="AL48" s="40">
        <f>Tributos!AL15</f>
        <v>0</v>
      </c>
      <c r="AM48" s="40">
        <f>Tributos!AM15</f>
        <v>0</v>
      </c>
      <c r="AN48" s="40">
        <f>Tributos!AN15</f>
        <v>0</v>
      </c>
    </row>
    <row r="50" spans="1:40" ht="12.75" customHeight="1">
      <c r="A50" s="617" t="s">
        <v>151</v>
      </c>
      <c r="B50" s="617"/>
      <c r="C50" s="617"/>
      <c r="D50" s="618">
        <f>SUM(E50:AN50)</f>
        <v>95732.355529992448</v>
      </c>
      <c r="E50" s="619">
        <f>E44+E46</f>
        <v>4102.4293940145162</v>
      </c>
      <c r="F50" s="619">
        <f t="shared" ref="F50:AN50" si="22">F44+F46</f>
        <v>4476.1518003726596</v>
      </c>
      <c r="G50" s="619">
        <f t="shared" si="22"/>
        <v>2750.2400936822332</v>
      </c>
      <c r="H50" s="619">
        <f t="shared" si="22"/>
        <v>2776.2996695463962</v>
      </c>
      <c r="I50" s="619">
        <f t="shared" si="22"/>
        <v>2802.4478479684994</v>
      </c>
      <c r="J50" s="619">
        <f t="shared" si="22"/>
        <v>2828.684930197237</v>
      </c>
      <c r="K50" s="619">
        <f t="shared" si="22"/>
        <v>2855.0112185055518</v>
      </c>
      <c r="L50" s="619">
        <f t="shared" si="22"/>
        <v>2881.4270161941149</v>
      </c>
      <c r="M50" s="619">
        <f t="shared" si="22"/>
        <v>2907.9326275948183</v>
      </c>
      <c r="N50" s="619">
        <f t="shared" si="22"/>
        <v>2934.5283580742853</v>
      </c>
      <c r="O50" s="619">
        <f t="shared" si="22"/>
        <v>2961.2145140373823</v>
      </c>
      <c r="P50" s="619">
        <f t="shared" si="22"/>
        <v>2987.9914029307538</v>
      </c>
      <c r="Q50" s="619">
        <f t="shared" si="22"/>
        <v>3014.8593332463615</v>
      </c>
      <c r="R50" s="619">
        <f t="shared" si="22"/>
        <v>3041.8186145250456</v>
      </c>
      <c r="S50" s="619">
        <f t="shared" si="22"/>
        <v>3068.8695573600726</v>
      </c>
      <c r="T50" s="619">
        <f t="shared" si="22"/>
        <v>3096.01247340074</v>
      </c>
      <c r="U50" s="619">
        <f t="shared" si="22"/>
        <v>3123.2476753559486</v>
      </c>
      <c r="V50" s="619">
        <f t="shared" si="22"/>
        <v>3150.5754769978048</v>
      </c>
      <c r="W50" s="619">
        <f t="shared" si="22"/>
        <v>3177.996193165241</v>
      </c>
      <c r="X50" s="619">
        <f t="shared" si="22"/>
        <v>3205.5101397676444</v>
      </c>
      <c r="Y50" s="619">
        <f t="shared" si="22"/>
        <v>3233.1176337884999</v>
      </c>
      <c r="Z50" s="619">
        <f t="shared" si="22"/>
        <v>3260.818993289025</v>
      </c>
      <c r="AA50" s="619">
        <f t="shared" si="22"/>
        <v>3288.6145374118519</v>
      </c>
      <c r="AB50" s="619">
        <f t="shared" si="22"/>
        <v>3316.5045863846976</v>
      </c>
      <c r="AC50" s="619">
        <f t="shared" si="22"/>
        <v>3344.4894615240464</v>
      </c>
      <c r="AD50" s="619">
        <f t="shared" si="22"/>
        <v>3372.5694852388742</v>
      </c>
      <c r="AE50" s="619">
        <f t="shared" si="22"/>
        <v>3400.744981034331</v>
      </c>
      <c r="AF50" s="619">
        <f t="shared" si="22"/>
        <v>3429.0162735154913</v>
      </c>
      <c r="AG50" s="619">
        <f t="shared" si="22"/>
        <v>3457.383688391084</v>
      </c>
      <c r="AH50" s="619">
        <f t="shared" si="22"/>
        <v>3485.8475524772621</v>
      </c>
      <c r="AI50" s="619">
        <f t="shared" si="22"/>
        <v>0</v>
      </c>
      <c r="AJ50" s="619">
        <f t="shared" si="22"/>
        <v>0</v>
      </c>
      <c r="AK50" s="619">
        <f t="shared" si="22"/>
        <v>0</v>
      </c>
      <c r="AL50" s="619">
        <f t="shared" si="22"/>
        <v>0</v>
      </c>
      <c r="AM50" s="619">
        <f t="shared" si="22"/>
        <v>0</v>
      </c>
      <c r="AN50" s="619">
        <f t="shared" si="22"/>
        <v>0</v>
      </c>
    </row>
    <row r="51" spans="1:40" ht="12.75" customHeight="1">
      <c r="A51" s="39" t="s">
        <v>152</v>
      </c>
      <c r="B51" s="32"/>
      <c r="C51" s="32"/>
      <c r="D51" s="47">
        <f t="shared" ref="D51:AN51" si="23">IFERROR(D50/D$20,0)</f>
        <v>0.2585716411712074</v>
      </c>
      <c r="E51" s="47">
        <f t="shared" si="23"/>
        <v>0.51787044260811477</v>
      </c>
      <c r="F51" s="47">
        <f t="shared" si="23"/>
        <v>0.37824457852884508</v>
      </c>
      <c r="G51" s="47">
        <f t="shared" si="23"/>
        <v>0.22720904402373879</v>
      </c>
      <c r="H51" s="47">
        <f t="shared" si="23"/>
        <v>0.22880100278042556</v>
      </c>
      <c r="I51" s="47">
        <f t="shared" si="23"/>
        <v>0.23039056692357107</v>
      </c>
      <c r="J51" s="47">
        <f t="shared" si="23"/>
        <v>0.23197773271619485</v>
      </c>
      <c r="K51" s="47">
        <f t="shared" si="23"/>
        <v>0.23356249646017402</v>
      </c>
      <c r="L51" s="47">
        <f t="shared" si="23"/>
        <v>0.23514485449620243</v>
      </c>
      <c r="M51" s="47">
        <f t="shared" si="23"/>
        <v>0.23672480320374886</v>
      </c>
      <c r="N51" s="47">
        <f t="shared" si="23"/>
        <v>0.23830233900101416</v>
      </c>
      <c r="O51" s="47">
        <f t="shared" si="23"/>
        <v>0.23987745834488708</v>
      </c>
      <c r="P51" s="47">
        <f t="shared" si="23"/>
        <v>0.24145015773089956</v>
      </c>
      <c r="Q51" s="47">
        <f t="shared" si="23"/>
        <v>0.24302043369318038</v>
      </c>
      <c r="R51" s="47">
        <f t="shared" si="23"/>
        <v>0.24458828280440842</v>
      </c>
      <c r="S51" s="47">
        <f t="shared" si="23"/>
        <v>0.24615370167576342</v>
      </c>
      <c r="T51" s="47">
        <f t="shared" si="23"/>
        <v>0.24771668695687835</v>
      </c>
      <c r="U51" s="47">
        <f t="shared" si="23"/>
        <v>0.24927723533578794</v>
      </c>
      <c r="V51" s="47">
        <f t="shared" si="23"/>
        <v>0.25083534353887738</v>
      </c>
      <c r="W51" s="47">
        <f t="shared" si="23"/>
        <v>0.25239100833083034</v>
      </c>
      <c r="X51" s="47">
        <f t="shared" si="23"/>
        <v>0.25394422651457565</v>
      </c>
      <c r="Y51" s="47">
        <f t="shared" si="23"/>
        <v>0.25549499493123329</v>
      </c>
      <c r="Z51" s="47">
        <f t="shared" si="23"/>
        <v>0.25704331046005779</v>
      </c>
      <c r="AA51" s="47">
        <f t="shared" si="23"/>
        <v>0.25858917001838311</v>
      </c>
      <c r="AB51" s="47">
        <f t="shared" si="23"/>
        <v>0.26013257056156475</v>
      </c>
      <c r="AC51" s="47">
        <f t="shared" si="23"/>
        <v>0.26167350908292103</v>
      </c>
      <c r="AD51" s="47">
        <f t="shared" si="23"/>
        <v>0.26321198261367523</v>
      </c>
      <c r="AE51" s="47">
        <f t="shared" si="23"/>
        <v>0.26474798822289342</v>
      </c>
      <c r="AF51" s="47">
        <f t="shared" si="23"/>
        <v>0.2662815230174243</v>
      </c>
      <c r="AG51" s="47">
        <f t="shared" si="23"/>
        <v>0.26781258414183684</v>
      </c>
      <c r="AH51" s="47">
        <f t="shared" si="23"/>
        <v>0.26934116877835779</v>
      </c>
      <c r="AI51" s="47">
        <f t="shared" si="23"/>
        <v>0</v>
      </c>
      <c r="AJ51" s="47">
        <f t="shared" si="23"/>
        <v>0</v>
      </c>
      <c r="AK51" s="47">
        <f t="shared" si="23"/>
        <v>0</v>
      </c>
      <c r="AL51" s="47">
        <f t="shared" si="23"/>
        <v>0</v>
      </c>
      <c r="AM51" s="47">
        <f t="shared" si="23"/>
        <v>0</v>
      </c>
      <c r="AN51" s="47">
        <f t="shared" si="23"/>
        <v>0</v>
      </c>
    </row>
  </sheetData>
  <sheetProtection password="C643" sheet="1" objects="1" scenarios="1"/>
  <pageMargins left="0.511811024" right="0.511811024" top="0.78740157499999996" bottom="0.78740157499999996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AF40"/>
  <sheetViews>
    <sheetView topLeftCell="A22" workbookViewId="0">
      <selection activeCell="G68" sqref="G68"/>
    </sheetView>
  </sheetViews>
  <sheetFormatPr defaultRowHeight="15"/>
  <cols>
    <col min="2" max="2" width="36" bestFit="1" customWidth="1"/>
    <col min="3" max="32" width="14.28515625" bestFit="1" customWidth="1"/>
  </cols>
  <sheetData>
    <row r="2" spans="2:32">
      <c r="C2" s="536">
        <v>1</v>
      </c>
      <c r="D2" s="536">
        <v>2</v>
      </c>
      <c r="E2" s="536">
        <v>3</v>
      </c>
      <c r="F2" s="536">
        <v>4</v>
      </c>
      <c r="G2" s="536">
        <v>5</v>
      </c>
      <c r="H2" s="536">
        <v>6</v>
      </c>
      <c r="I2" s="536">
        <v>7</v>
      </c>
      <c r="J2" s="536">
        <v>8</v>
      </c>
      <c r="K2" s="536">
        <v>9</v>
      </c>
      <c r="L2" s="536">
        <v>10</v>
      </c>
      <c r="M2" s="536">
        <v>11</v>
      </c>
      <c r="N2" s="536">
        <v>12</v>
      </c>
      <c r="O2" s="536">
        <v>13</v>
      </c>
      <c r="P2" s="536">
        <v>14</v>
      </c>
      <c r="Q2" s="536">
        <v>15</v>
      </c>
      <c r="R2" s="536">
        <v>16</v>
      </c>
      <c r="S2" s="536">
        <v>17</v>
      </c>
      <c r="T2" s="536">
        <v>18</v>
      </c>
      <c r="U2" s="536">
        <v>19</v>
      </c>
      <c r="V2" s="536">
        <v>20</v>
      </c>
      <c r="W2" s="536">
        <v>21</v>
      </c>
      <c r="X2" s="536">
        <v>22</v>
      </c>
      <c r="Y2" s="536">
        <v>23</v>
      </c>
      <c r="Z2" s="536">
        <v>24</v>
      </c>
      <c r="AA2" s="536">
        <v>25</v>
      </c>
      <c r="AB2" s="536">
        <v>26</v>
      </c>
      <c r="AC2" s="536">
        <v>27</v>
      </c>
      <c r="AD2" s="536">
        <v>28</v>
      </c>
      <c r="AE2" s="536">
        <v>29</v>
      </c>
      <c r="AF2" s="536">
        <v>30</v>
      </c>
    </row>
    <row r="3" spans="2:32">
      <c r="B3" s="556" t="str">
        <f>DRE!A5</f>
        <v>Receita bruta</v>
      </c>
      <c r="C3" s="557">
        <f>DRE!E5</f>
        <v>8408.8060465005274</v>
      </c>
      <c r="D3" s="557">
        <f>DRE!F5</f>
        <v>12691.548526090954</v>
      </c>
      <c r="E3" s="557">
        <f>DRE!G5</f>
        <v>13250.627427234751</v>
      </c>
      <c r="F3" s="557">
        <f>DRE!H5</f>
        <v>13283.112967897392</v>
      </c>
      <c r="G3" s="557">
        <f>DRE!I5</f>
        <v>13315.708959398286</v>
      </c>
      <c r="H3" s="557">
        <f>DRE!J5</f>
        <v>13348.415777270284</v>
      </c>
      <c r="I3" s="557">
        <f>DRE!K5</f>
        <v>13381.233798323046</v>
      </c>
      <c r="J3" s="557">
        <f>DRE!L5</f>
        <v>13414.163400647387</v>
      </c>
      <c r="K3" s="557">
        <f>DRE!M5</f>
        <v>13447.20496361963</v>
      </c>
      <c r="L3" s="557">
        <f>DRE!N5</f>
        <v>13480.358867905978</v>
      </c>
      <c r="M3" s="557">
        <f>DRE!O5</f>
        <v>13513.625495466902</v>
      </c>
      <c r="N3" s="557">
        <f>DRE!P5</f>
        <v>13547.005229561531</v>
      </c>
      <c r="O3" s="557">
        <f>DRE!Q5</f>
        <v>13580.498454752083</v>
      </c>
      <c r="P3" s="557">
        <f>DRE!R5</f>
        <v>13614.105556908286</v>
      </c>
      <c r="Q3" s="557">
        <f>DRE!S5</f>
        <v>13647.826923211813</v>
      </c>
      <c r="R3" s="557">
        <f>DRE!T5</f>
        <v>13681.662942160776</v>
      </c>
      <c r="S3" s="557">
        <f>DRE!U5</f>
        <v>13715.614003574166</v>
      </c>
      <c r="T3" s="557">
        <f>DRE!V5</f>
        <v>13749.680498596363</v>
      </c>
      <c r="U3" s="557">
        <f>DRE!W5</f>
        <v>13783.862819701633</v>
      </c>
      <c r="V3" s="557">
        <f>DRE!X5</f>
        <v>13818.161360698658</v>
      </c>
      <c r="W3" s="557">
        <f>DRE!Y5</f>
        <v>13852.576516735078</v>
      </c>
      <c r="X3" s="557">
        <f>DRE!Z5</f>
        <v>13887.10868430202</v>
      </c>
      <c r="Y3" s="557">
        <f>DRE!AA5</f>
        <v>13921.758261238689</v>
      </c>
      <c r="Z3" s="557">
        <f>DRE!AB5</f>
        <v>13956.525646736944</v>
      </c>
      <c r="AA3" s="557">
        <f>DRE!AC5</f>
        <v>13991.41124134589</v>
      </c>
      <c r="AB3" s="557">
        <f>DRE!AD5</f>
        <v>14026.415446976511</v>
      </c>
      <c r="AC3" s="557">
        <f>DRE!AE5</f>
        <v>14061.538666906272</v>
      </c>
      <c r="AD3" s="557">
        <f>DRE!AF5</f>
        <v>14096.781305783796</v>
      </c>
      <c r="AE3" s="557">
        <f>DRE!AG5</f>
        <v>14132.1437696335</v>
      </c>
      <c r="AF3" s="557">
        <f>DRE!AH5</f>
        <v>14167.6264658603</v>
      </c>
    </row>
    <row r="4" spans="2:32">
      <c r="B4" t="str">
        <f>DRE!A9</f>
        <v>Deduções da Receita Bruta</v>
      </c>
      <c r="C4" s="539">
        <f>DRE!E9</f>
        <v>-487.07687162478447</v>
      </c>
      <c r="D4" s="539">
        <f>DRE!F9</f>
        <v>-857.53409610935637</v>
      </c>
      <c r="E4" s="539">
        <f>DRE!G9</f>
        <v>-1146.1792724558059</v>
      </c>
      <c r="F4" s="539">
        <f>DRE!H9</f>
        <v>-1148.9892717231246</v>
      </c>
      <c r="G4" s="539">
        <f>DRE!I9</f>
        <v>-1151.8088249879518</v>
      </c>
      <c r="H4" s="539">
        <f>DRE!J9</f>
        <v>-1154.6379647338795</v>
      </c>
      <c r="I4" s="539">
        <f>DRE!K9</f>
        <v>-1157.4767235549434</v>
      </c>
      <c r="J4" s="539">
        <f>DRE!L9</f>
        <v>-1160.325134155999</v>
      </c>
      <c r="K4" s="539">
        <f>DRE!M9</f>
        <v>-1163.1832293530979</v>
      </c>
      <c r="L4" s="539">
        <f>DRE!N9</f>
        <v>-1166.0510420738672</v>
      </c>
      <c r="M4" s="539">
        <f>DRE!O9</f>
        <v>-1168.9286053578871</v>
      </c>
      <c r="N4" s="539">
        <f>DRE!P9</f>
        <v>-1171.8159523570725</v>
      </c>
      <c r="O4" s="539">
        <f>DRE!Q9</f>
        <v>-1174.7131163360552</v>
      </c>
      <c r="P4" s="539">
        <f>DRE!R9</f>
        <v>-1177.6201306725668</v>
      </c>
      <c r="Q4" s="539">
        <f>DRE!S9</f>
        <v>-1180.537028857822</v>
      </c>
      <c r="R4" s="539">
        <f>DRE!T9</f>
        <v>-1183.4638444969071</v>
      </c>
      <c r="S4" s="539">
        <f>DRE!U9</f>
        <v>-1186.4006113091655</v>
      </c>
      <c r="T4" s="539">
        <f>DRE!V9</f>
        <v>-1189.3473631285854</v>
      </c>
      <c r="U4" s="539">
        <f>DRE!W9</f>
        <v>-1192.3041339041913</v>
      </c>
      <c r="V4" s="539">
        <f>DRE!X9</f>
        <v>-1195.2709577004339</v>
      </c>
      <c r="W4" s="539">
        <f>DRE!Y9</f>
        <v>-1198.2478686975844</v>
      </c>
      <c r="X4" s="539">
        <f>DRE!Z9</f>
        <v>-1201.2349011921247</v>
      </c>
      <c r="Y4" s="539">
        <f>DRE!AA9</f>
        <v>-1204.2320895971466</v>
      </c>
      <c r="Z4" s="539">
        <f>DRE!AB9</f>
        <v>-1207.2394684427456</v>
      </c>
      <c r="AA4" s="539">
        <f>DRE!AC9</f>
        <v>-1210.2570723764195</v>
      </c>
      <c r="AB4" s="539">
        <f>DRE!AD9</f>
        <v>-1213.2849361634683</v>
      </c>
      <c r="AC4" s="539">
        <f>DRE!AE9</f>
        <v>-1216.3230946873925</v>
      </c>
      <c r="AD4" s="539">
        <f>DRE!AF9</f>
        <v>-1219.3715829502985</v>
      </c>
      <c r="AE4" s="539">
        <f>DRE!AG9</f>
        <v>-1222.4304360732976</v>
      </c>
      <c r="AF4" s="539">
        <f>DRE!AH9</f>
        <v>-1225.4996892969161</v>
      </c>
    </row>
    <row r="5" spans="2:32">
      <c r="B5" s="556" t="str">
        <f>DRE!A20</f>
        <v>Receita líquida total</v>
      </c>
      <c r="C5" s="557">
        <f>DRE!E20</f>
        <v>7921.7291748757425</v>
      </c>
      <c r="D5" s="557">
        <f>DRE!F20</f>
        <v>11834.014429981597</v>
      </c>
      <c r="E5" s="557">
        <f>DRE!G20</f>
        <v>12104.448154778946</v>
      </c>
      <c r="F5" s="557">
        <f>DRE!H20</f>
        <v>12134.123696174267</v>
      </c>
      <c r="G5" s="557">
        <f>DRE!I20</f>
        <v>12163.900134410334</v>
      </c>
      <c r="H5" s="557">
        <f>DRE!J20</f>
        <v>12193.777812536404</v>
      </c>
      <c r="I5" s="557">
        <f>DRE!K20</f>
        <v>12223.757074768102</v>
      </c>
      <c r="J5" s="557">
        <f>DRE!L20</f>
        <v>12253.838266491388</v>
      </c>
      <c r="K5" s="557">
        <f>DRE!M20</f>
        <v>12284.021734266531</v>
      </c>
      <c r="L5" s="557">
        <f>DRE!N20</f>
        <v>12314.307825832111</v>
      </c>
      <c r="M5" s="557">
        <f>DRE!O20</f>
        <v>12344.696890109015</v>
      </c>
      <c r="N5" s="557">
        <f>DRE!P20</f>
        <v>12375.189277204459</v>
      </c>
      <c r="O5" s="557">
        <f>DRE!Q20</f>
        <v>12405.785338416028</v>
      </c>
      <c r="P5" s="557">
        <f>DRE!R20</f>
        <v>12436.485426235718</v>
      </c>
      <c r="Q5" s="557">
        <f>DRE!S20</f>
        <v>12467.289894353991</v>
      </c>
      <c r="R5" s="557">
        <f>DRE!T20</f>
        <v>12498.199097663868</v>
      </c>
      <c r="S5" s="557">
        <f>DRE!U20</f>
        <v>12529.213392265001</v>
      </c>
      <c r="T5" s="557">
        <f>DRE!V20</f>
        <v>12560.333135467778</v>
      </c>
      <c r="U5" s="557">
        <f>DRE!W20</f>
        <v>12591.558685797441</v>
      </c>
      <c r="V5" s="557">
        <f>DRE!X20</f>
        <v>12622.890402998224</v>
      </c>
      <c r="W5" s="557">
        <f>DRE!Y20</f>
        <v>12654.328648037494</v>
      </c>
      <c r="X5" s="557">
        <f>DRE!Z20</f>
        <v>12685.873783109895</v>
      </c>
      <c r="Y5" s="557">
        <f>DRE!AA20</f>
        <v>12717.526171641543</v>
      </c>
      <c r="Z5" s="557">
        <f>DRE!AB20</f>
        <v>12749.286178294198</v>
      </c>
      <c r="AA5" s="557">
        <f>DRE!AC20</f>
        <v>12781.15416896947</v>
      </c>
      <c r="AB5" s="557">
        <f>DRE!AD20</f>
        <v>12813.130510813042</v>
      </c>
      <c r="AC5" s="557">
        <f>DRE!AE20</f>
        <v>12845.21557221888</v>
      </c>
      <c r="AD5" s="557">
        <f>DRE!AF20</f>
        <v>12877.409722833498</v>
      </c>
      <c r="AE5" s="557">
        <f>DRE!AG20</f>
        <v>12909.713333560201</v>
      </c>
      <c r="AF5" s="557">
        <f>DRE!AH20</f>
        <v>12942.126776563384</v>
      </c>
    </row>
    <row r="6" spans="2:32">
      <c r="B6" s="556" t="str">
        <f>DRE!A24</f>
        <v>Custos e Despesas Operacionais</v>
      </c>
      <c r="C6" s="557">
        <f>DRE!E24</f>
        <v>-2639.0088126031806</v>
      </c>
      <c r="D6" s="557">
        <f>DRE!F24</f>
        <v>-5249.6157955484641</v>
      </c>
      <c r="E6" s="557">
        <f>DRE!G24</f>
        <v>-6882.9023231461379</v>
      </c>
      <c r="F6" s="557">
        <f>DRE!H24</f>
        <v>-6882.9838618532012</v>
      </c>
      <c r="G6" s="557">
        <f>DRE!I24</f>
        <v>-6883.0656777918684</v>
      </c>
      <c r="H6" s="557">
        <f>DRE!J24</f>
        <v>-6883.1477719047271</v>
      </c>
      <c r="I6" s="557">
        <f>DRE!K24</f>
        <v>-6883.2301451375697</v>
      </c>
      <c r="J6" s="557">
        <f>DRE!L24</f>
        <v>-6883.3127984394041</v>
      </c>
      <c r="K6" s="557">
        <f>DRE!M24</f>
        <v>-6883.3957327624639</v>
      </c>
      <c r="L6" s="557">
        <f>DRE!N24</f>
        <v>-6883.4789490622225</v>
      </c>
      <c r="M6" s="557">
        <f>DRE!O24</f>
        <v>-6883.5624482974008</v>
      </c>
      <c r="N6" s="557">
        <f>DRE!P24</f>
        <v>-6883.6462314299779</v>
      </c>
      <c r="O6" s="557">
        <f>DRE!Q24</f>
        <v>-6883.7302994252068</v>
      </c>
      <c r="P6" s="557">
        <f>DRE!R24</f>
        <v>-6883.8146532516184</v>
      </c>
      <c r="Q6" s="557">
        <f>DRE!S24</f>
        <v>-6883.8992938810406</v>
      </c>
      <c r="R6" s="557">
        <f>DRE!T24</f>
        <v>-6883.9842222886027</v>
      </c>
      <c r="S6" s="557">
        <f>DRE!U24</f>
        <v>-6884.06943945275</v>
      </c>
      <c r="T6" s="557">
        <f>DRE!V24</f>
        <v>-6884.1549463552556</v>
      </c>
      <c r="U6" s="557">
        <f>DRE!W24</f>
        <v>-6884.2407439812296</v>
      </c>
      <c r="V6" s="557">
        <f>DRE!X24</f>
        <v>-6884.3268333191327</v>
      </c>
      <c r="W6" s="557">
        <f>DRE!Y24</f>
        <v>-6884.4132153607843</v>
      </c>
      <c r="X6" s="557">
        <f>DRE!Z24</f>
        <v>-6884.4998911013772</v>
      </c>
      <c r="Y6" s="557">
        <f>DRE!AA24</f>
        <v>-6884.5868615394884</v>
      </c>
      <c r="Z6" s="557">
        <f>DRE!AB24</f>
        <v>-6884.6741276770881</v>
      </c>
      <c r="AA6" s="557">
        <f>DRE!AC24</f>
        <v>-6884.7616905195573</v>
      </c>
      <c r="AB6" s="557">
        <f>DRE!AD24</f>
        <v>-6884.8495510756902</v>
      </c>
      <c r="AC6" s="557">
        <f>DRE!AE24</f>
        <v>-6884.9377103577135</v>
      </c>
      <c r="AD6" s="557">
        <f>DRE!AF24</f>
        <v>-6885.0261693812963</v>
      </c>
      <c r="AE6" s="557">
        <f>DRE!AG24</f>
        <v>-6885.1149291655593</v>
      </c>
      <c r="AF6" s="557">
        <f>DRE!AH24</f>
        <v>-6885.2039907330882</v>
      </c>
    </row>
    <row r="7" spans="2:32">
      <c r="B7" t="str">
        <f>DRE!A32</f>
        <v>EBITDA</v>
      </c>
      <c r="C7" s="539">
        <f>DRE!E32</f>
        <v>5282.7203622725619</v>
      </c>
      <c r="D7" s="539">
        <f>DRE!F32</f>
        <v>6584.3986344331324</v>
      </c>
      <c r="E7" s="539">
        <f>DRE!G32</f>
        <v>5221.5458316328077</v>
      </c>
      <c r="F7" s="539">
        <f>DRE!H32</f>
        <v>5251.1398343210658</v>
      </c>
      <c r="G7" s="539">
        <f>DRE!I32</f>
        <v>5280.834456618466</v>
      </c>
      <c r="H7" s="539">
        <f>DRE!J32</f>
        <v>5310.6300406316768</v>
      </c>
      <c r="I7" s="539">
        <f>DRE!K32</f>
        <v>5340.5269296305323</v>
      </c>
      <c r="J7" s="539">
        <f>DRE!L32</f>
        <v>5370.5254680519838</v>
      </c>
      <c r="K7" s="539">
        <f>DRE!M32</f>
        <v>5400.6260015040671</v>
      </c>
      <c r="L7" s="539">
        <f>DRE!N32</f>
        <v>5430.8288767698887</v>
      </c>
      <c r="M7" s="539">
        <f>DRE!O32</f>
        <v>5461.1344418116141</v>
      </c>
      <c r="N7" s="539">
        <f>DRE!P32</f>
        <v>5491.5430457744815</v>
      </c>
      <c r="O7" s="539">
        <f>DRE!Q32</f>
        <v>5522.0550389908212</v>
      </c>
      <c r="P7" s="539">
        <f>DRE!R32</f>
        <v>5552.6707729841</v>
      </c>
      <c r="Q7" s="539">
        <f>DRE!S32</f>
        <v>5583.3906004729506</v>
      </c>
      <c r="R7" s="539">
        <f>DRE!T32</f>
        <v>5614.2148753752654</v>
      </c>
      <c r="S7" s="539">
        <f>DRE!U32</f>
        <v>5645.143952812251</v>
      </c>
      <c r="T7" s="539">
        <f>DRE!V32</f>
        <v>5676.178189112522</v>
      </c>
      <c r="U7" s="539">
        <f>DRE!W32</f>
        <v>5707.3179418162117</v>
      </c>
      <c r="V7" s="539">
        <f>DRE!X32</f>
        <v>5738.5635696790914</v>
      </c>
      <c r="W7" s="539">
        <f>DRE!Y32</f>
        <v>5769.9154326767093</v>
      </c>
      <c r="X7" s="539">
        <f>DRE!Z32</f>
        <v>5801.3738920085179</v>
      </c>
      <c r="Y7" s="539">
        <f>DRE!AA32</f>
        <v>5832.9393101020542</v>
      </c>
      <c r="Z7" s="539">
        <f>DRE!AB32</f>
        <v>5864.6120506171101</v>
      </c>
      <c r="AA7" s="539">
        <f>DRE!AC32</f>
        <v>5896.3924784499122</v>
      </c>
      <c r="AB7" s="539">
        <f>DRE!AD32</f>
        <v>5928.2809597373516</v>
      </c>
      <c r="AC7" s="539">
        <f>DRE!AE32</f>
        <v>5960.2778618611665</v>
      </c>
      <c r="AD7" s="539">
        <f>DRE!AF32</f>
        <v>5992.3835534522013</v>
      </c>
      <c r="AE7" s="539">
        <f>DRE!AG32</f>
        <v>6024.5984043946419</v>
      </c>
      <c r="AF7" s="539">
        <f>DRE!AH32</f>
        <v>6056.9227858302957</v>
      </c>
    </row>
    <row r="8" spans="2:32">
      <c r="B8" t="str">
        <f>DRE!A35</f>
        <v>Amortização do intangível</v>
      </c>
      <c r="C8" s="539">
        <f>DRE!E35</f>
        <v>-591.64398984444449</v>
      </c>
      <c r="D8" s="539">
        <f>DRE!F35</f>
        <v>-1053.6374738674331</v>
      </c>
      <c r="E8" s="539">
        <f>DRE!G35</f>
        <v>-1053.6374738674331</v>
      </c>
      <c r="F8" s="539">
        <f>DRE!H35</f>
        <v>-1053.6374738674331</v>
      </c>
      <c r="G8" s="539">
        <f>DRE!I35</f>
        <v>-1053.6374738674331</v>
      </c>
      <c r="H8" s="539">
        <f>DRE!J35</f>
        <v>-1053.6374738674331</v>
      </c>
      <c r="I8" s="539">
        <f>DRE!K35</f>
        <v>-1053.6374738674331</v>
      </c>
      <c r="J8" s="539">
        <f>DRE!L35</f>
        <v>-1053.6374738674331</v>
      </c>
      <c r="K8" s="539">
        <f>DRE!M35</f>
        <v>-1053.6374738674331</v>
      </c>
      <c r="L8" s="539">
        <f>DRE!N35</f>
        <v>-1053.6374738674331</v>
      </c>
      <c r="M8" s="539">
        <f>DRE!O35</f>
        <v>-1053.6374738674331</v>
      </c>
      <c r="N8" s="539">
        <f>DRE!P35</f>
        <v>-1053.6374738674331</v>
      </c>
      <c r="O8" s="539">
        <f>DRE!Q35</f>
        <v>-1053.6374738674331</v>
      </c>
      <c r="P8" s="539">
        <f>DRE!R35</f>
        <v>-1053.6374738674331</v>
      </c>
      <c r="Q8" s="539">
        <f>DRE!S35</f>
        <v>-1053.6374738674331</v>
      </c>
      <c r="R8" s="539">
        <f>DRE!T35</f>
        <v>-1053.6374738674331</v>
      </c>
      <c r="S8" s="539">
        <f>DRE!U35</f>
        <v>-1053.6374738674331</v>
      </c>
      <c r="T8" s="539">
        <f>DRE!V35</f>
        <v>-1053.6374738674331</v>
      </c>
      <c r="U8" s="539">
        <f>DRE!W35</f>
        <v>-1053.6374738674331</v>
      </c>
      <c r="V8" s="539">
        <f>DRE!X35</f>
        <v>-1053.6374738674331</v>
      </c>
      <c r="W8" s="539">
        <f>DRE!Y35</f>
        <v>-1053.6374738674331</v>
      </c>
      <c r="X8" s="539">
        <f>DRE!Z35</f>
        <v>-1053.6374738674331</v>
      </c>
      <c r="Y8" s="539">
        <f>DRE!AA35</f>
        <v>-1053.6374738674331</v>
      </c>
      <c r="Z8" s="539">
        <f>DRE!AB35</f>
        <v>-1053.6374738674331</v>
      </c>
      <c r="AA8" s="539">
        <f>DRE!AC35</f>
        <v>-1053.6374738674331</v>
      </c>
      <c r="AB8" s="539">
        <f>DRE!AD35</f>
        <v>-1053.6374738674331</v>
      </c>
      <c r="AC8" s="539">
        <f>DRE!AE35</f>
        <v>-1053.6374738674331</v>
      </c>
      <c r="AD8" s="539">
        <f>DRE!AF35</f>
        <v>-1053.6374738674331</v>
      </c>
      <c r="AE8" s="539">
        <f>DRE!AG35</f>
        <v>-1053.6374738674331</v>
      </c>
      <c r="AF8" s="539">
        <f>DRE!AH35</f>
        <v>-1053.6374738674331</v>
      </c>
    </row>
    <row r="9" spans="2:32">
      <c r="B9" s="556" t="str">
        <f>DRE!A37</f>
        <v>Resultado bruto</v>
      </c>
      <c r="C9" s="557">
        <f>DRE!E37</f>
        <v>4691.0763724281178</v>
      </c>
      <c r="D9" s="557">
        <f>DRE!F37</f>
        <v>5530.7611605656994</v>
      </c>
      <c r="E9" s="557">
        <f>DRE!G37</f>
        <v>4167.9083577653746</v>
      </c>
      <c r="F9" s="557">
        <f>DRE!H37</f>
        <v>4197.5023604536327</v>
      </c>
      <c r="G9" s="557">
        <f>DRE!I37</f>
        <v>4227.1969827510329</v>
      </c>
      <c r="H9" s="557">
        <f>DRE!J37</f>
        <v>4256.9925667642437</v>
      </c>
      <c r="I9" s="557">
        <f>DRE!K37</f>
        <v>4286.8894557630992</v>
      </c>
      <c r="J9" s="557">
        <f>DRE!L37</f>
        <v>4316.8879941845507</v>
      </c>
      <c r="K9" s="557">
        <f>DRE!M37</f>
        <v>4346.988527636634</v>
      </c>
      <c r="L9" s="557">
        <f>DRE!N37</f>
        <v>4377.1914029024556</v>
      </c>
      <c r="M9" s="557">
        <f>DRE!O37</f>
        <v>4407.4969679441811</v>
      </c>
      <c r="N9" s="557">
        <f>DRE!P37</f>
        <v>4437.9055719070484</v>
      </c>
      <c r="O9" s="557">
        <f>DRE!Q37</f>
        <v>4468.4175651233882</v>
      </c>
      <c r="P9" s="557">
        <f>DRE!R37</f>
        <v>4499.033299116667</v>
      </c>
      <c r="Q9" s="557">
        <f>DRE!S37</f>
        <v>4529.7531266055175</v>
      </c>
      <c r="R9" s="557">
        <f>DRE!T37</f>
        <v>4560.5774015078323</v>
      </c>
      <c r="S9" s="557">
        <f>DRE!U37</f>
        <v>4591.5064789448179</v>
      </c>
      <c r="T9" s="557">
        <f>DRE!V37</f>
        <v>4622.5407152450889</v>
      </c>
      <c r="U9" s="557">
        <f>DRE!W37</f>
        <v>4653.6804679487786</v>
      </c>
      <c r="V9" s="557">
        <f>DRE!X37</f>
        <v>4684.9260958116583</v>
      </c>
      <c r="W9" s="557">
        <f>DRE!Y37</f>
        <v>4716.2779588092762</v>
      </c>
      <c r="X9" s="557">
        <f>DRE!Z37</f>
        <v>4747.7364181410849</v>
      </c>
      <c r="Y9" s="557">
        <f>DRE!AA37</f>
        <v>4779.3018362346211</v>
      </c>
      <c r="Z9" s="557">
        <f>DRE!AB37</f>
        <v>4810.974576749677</v>
      </c>
      <c r="AA9" s="557">
        <f>DRE!AC37</f>
        <v>4842.7550045824792</v>
      </c>
      <c r="AB9" s="557">
        <f>DRE!AD37</f>
        <v>4874.6434858699185</v>
      </c>
      <c r="AC9" s="557">
        <f>DRE!AE37</f>
        <v>4906.6403879937334</v>
      </c>
      <c r="AD9" s="557">
        <f>DRE!AF37</f>
        <v>4938.7460795847683</v>
      </c>
      <c r="AE9" s="557">
        <f>DRE!AG37</f>
        <v>4970.9609305272088</v>
      </c>
      <c r="AF9" s="557">
        <f>DRE!AH37</f>
        <v>5003.2853119628626</v>
      </c>
    </row>
    <row r="10" spans="2:32">
      <c r="B10" t="str">
        <f>DRE!A39</f>
        <v>Resultado Financeiro Líquido</v>
      </c>
      <c r="C10" s="539">
        <f>DRE!E39</f>
        <v>0</v>
      </c>
      <c r="D10" s="539">
        <f>DRE!F39</f>
        <v>0</v>
      </c>
      <c r="E10" s="539">
        <f>DRE!G39</f>
        <v>0</v>
      </c>
      <c r="F10" s="539">
        <f>DRE!H39</f>
        <v>0</v>
      </c>
      <c r="G10" s="539">
        <f>DRE!I39</f>
        <v>0</v>
      </c>
      <c r="H10" s="539">
        <f>DRE!J39</f>
        <v>0</v>
      </c>
      <c r="I10" s="539">
        <f>DRE!K39</f>
        <v>0</v>
      </c>
      <c r="J10" s="539">
        <f>DRE!L39</f>
        <v>0</v>
      </c>
      <c r="K10" s="539">
        <f>DRE!M39</f>
        <v>0</v>
      </c>
      <c r="L10" s="539">
        <f>DRE!N39</f>
        <v>0</v>
      </c>
      <c r="M10" s="539">
        <f>DRE!O39</f>
        <v>0</v>
      </c>
      <c r="N10" s="539">
        <f>DRE!P39</f>
        <v>0</v>
      </c>
      <c r="O10" s="539">
        <f>DRE!Q39</f>
        <v>0</v>
      </c>
      <c r="P10" s="539">
        <f>DRE!R39</f>
        <v>0</v>
      </c>
      <c r="Q10" s="539">
        <f>DRE!S39</f>
        <v>0</v>
      </c>
      <c r="R10" s="539">
        <f>DRE!T39</f>
        <v>0</v>
      </c>
      <c r="S10" s="539">
        <f>DRE!U39</f>
        <v>0</v>
      </c>
      <c r="T10" s="539">
        <f>DRE!V39</f>
        <v>0</v>
      </c>
      <c r="U10" s="539">
        <f>DRE!W39</f>
        <v>0</v>
      </c>
      <c r="V10" s="539">
        <f>DRE!X39</f>
        <v>0</v>
      </c>
      <c r="W10" s="539">
        <f>DRE!Y39</f>
        <v>0</v>
      </c>
      <c r="X10" s="539">
        <f>DRE!Z39</f>
        <v>0</v>
      </c>
      <c r="Y10" s="539">
        <f>DRE!AA39</f>
        <v>0</v>
      </c>
      <c r="Z10" s="539">
        <f>DRE!AB39</f>
        <v>0</v>
      </c>
      <c r="AA10" s="539">
        <f>DRE!AC39</f>
        <v>0</v>
      </c>
      <c r="AB10" s="539">
        <f>DRE!AD39</f>
        <v>0</v>
      </c>
      <c r="AC10" s="539">
        <f>DRE!AE39</f>
        <v>0</v>
      </c>
      <c r="AD10" s="539">
        <f>DRE!AF39</f>
        <v>0</v>
      </c>
      <c r="AE10" s="539">
        <f>DRE!AG39</f>
        <v>0</v>
      </c>
      <c r="AF10" s="539">
        <f>DRE!AH39</f>
        <v>0</v>
      </c>
    </row>
    <row r="11" spans="2:32">
      <c r="B11" t="str">
        <f>DRE!A42</f>
        <v>Lucro antes de Impostos sobre a Renda</v>
      </c>
      <c r="C11" s="539">
        <f>DRE!E42</f>
        <v>4691.0763724281178</v>
      </c>
      <c r="D11" s="539">
        <f>DRE!F42</f>
        <v>5530.7611605656994</v>
      </c>
      <c r="E11" s="539">
        <f>DRE!G42</f>
        <v>4167.9083577653746</v>
      </c>
      <c r="F11" s="539">
        <f>DRE!H42</f>
        <v>4197.5023604536327</v>
      </c>
      <c r="G11" s="539">
        <f>DRE!I42</f>
        <v>4227.1969827510329</v>
      </c>
      <c r="H11" s="539">
        <f>DRE!J42</f>
        <v>4256.9925667642437</v>
      </c>
      <c r="I11" s="539">
        <f>DRE!K42</f>
        <v>4286.8894557630992</v>
      </c>
      <c r="J11" s="539">
        <f>DRE!L42</f>
        <v>4316.8879941845507</v>
      </c>
      <c r="K11" s="539">
        <f>DRE!M42</f>
        <v>4346.988527636634</v>
      </c>
      <c r="L11" s="539">
        <f>DRE!N42</f>
        <v>4377.1914029024556</v>
      </c>
      <c r="M11" s="539">
        <f>DRE!O42</f>
        <v>4407.4969679441811</v>
      </c>
      <c r="N11" s="539">
        <f>DRE!P42</f>
        <v>4437.9055719070484</v>
      </c>
      <c r="O11" s="539">
        <f>DRE!Q42</f>
        <v>4468.4175651233882</v>
      </c>
      <c r="P11" s="539">
        <f>DRE!R42</f>
        <v>4499.033299116667</v>
      </c>
      <c r="Q11" s="539">
        <f>DRE!S42</f>
        <v>4529.7531266055175</v>
      </c>
      <c r="R11" s="539">
        <f>DRE!T42</f>
        <v>4560.5774015078323</v>
      </c>
      <c r="S11" s="539">
        <f>DRE!U42</f>
        <v>4591.5064789448179</v>
      </c>
      <c r="T11" s="539">
        <f>DRE!V42</f>
        <v>4622.5407152450889</v>
      </c>
      <c r="U11" s="539">
        <f>DRE!W42</f>
        <v>4653.6804679487786</v>
      </c>
      <c r="V11" s="539">
        <f>DRE!X42</f>
        <v>4684.9260958116583</v>
      </c>
      <c r="W11" s="539">
        <f>DRE!Y42</f>
        <v>4716.2779588092762</v>
      </c>
      <c r="X11" s="539">
        <f>DRE!Z42</f>
        <v>4747.7364181410849</v>
      </c>
      <c r="Y11" s="539">
        <f>DRE!AA42</f>
        <v>4779.3018362346211</v>
      </c>
      <c r="Z11" s="539">
        <f>DRE!AB42</f>
        <v>4810.974576749677</v>
      </c>
      <c r="AA11" s="539">
        <f>DRE!AC42</f>
        <v>4842.7550045824792</v>
      </c>
      <c r="AB11" s="539">
        <f>DRE!AD42</f>
        <v>4874.6434858699185</v>
      </c>
      <c r="AC11" s="539">
        <f>DRE!AE42</f>
        <v>4906.6403879937334</v>
      </c>
      <c r="AD11" s="539">
        <f>DRE!AF42</f>
        <v>4938.7460795847683</v>
      </c>
      <c r="AE11" s="539">
        <f>DRE!AG42</f>
        <v>4970.9609305272088</v>
      </c>
      <c r="AF11" s="539">
        <f>DRE!AH42</f>
        <v>5003.2853119628626</v>
      </c>
    </row>
    <row r="12" spans="2:32">
      <c r="B12" t="str">
        <f>DRE!A46</f>
        <v>Impostos sobre a Renda</v>
      </c>
      <c r="C12" s="539">
        <f>DRE!E46</f>
        <v>-588.64697841360169</v>
      </c>
      <c r="D12" s="539">
        <f>DRE!F46</f>
        <v>-1054.6093601930402</v>
      </c>
      <c r="E12" s="539">
        <f>DRE!G46</f>
        <v>-1417.6682640831411</v>
      </c>
      <c r="F12" s="539">
        <f>DRE!H46</f>
        <v>-1421.2026909072363</v>
      </c>
      <c r="G12" s="539">
        <f>DRE!I46</f>
        <v>-1424.7491347825335</v>
      </c>
      <c r="H12" s="539">
        <f>DRE!J46</f>
        <v>-1428.307636567007</v>
      </c>
      <c r="I12" s="539">
        <f>DRE!K46</f>
        <v>-1431.8782372575474</v>
      </c>
      <c r="J12" s="539">
        <f>DRE!L46</f>
        <v>-1435.4609779904358</v>
      </c>
      <c r="K12" s="539">
        <f>DRE!M46</f>
        <v>-1439.0559000418157</v>
      </c>
      <c r="L12" s="539">
        <f>DRE!N46</f>
        <v>-1442.6630448281703</v>
      </c>
      <c r="M12" s="539">
        <f>DRE!O46</f>
        <v>-1446.282453906799</v>
      </c>
      <c r="N12" s="539">
        <f>DRE!P46</f>
        <v>-1449.9141689762946</v>
      </c>
      <c r="O12" s="539">
        <f>DRE!Q46</f>
        <v>-1453.5582318770266</v>
      </c>
      <c r="P12" s="539">
        <f>DRE!R46</f>
        <v>-1457.2146845916213</v>
      </c>
      <c r="Q12" s="539">
        <f>DRE!S46</f>
        <v>-1460.8835692454452</v>
      </c>
      <c r="R12" s="539">
        <f>DRE!T46</f>
        <v>-1464.5649281070923</v>
      </c>
      <c r="S12" s="539">
        <f>DRE!U46</f>
        <v>-1468.2588035888693</v>
      </c>
      <c r="T12" s="539">
        <f>DRE!V46</f>
        <v>-1471.9652382472841</v>
      </c>
      <c r="U12" s="539">
        <f>DRE!W46</f>
        <v>-1475.6842747835376</v>
      </c>
      <c r="V12" s="539">
        <f>DRE!X46</f>
        <v>-1479.4159560440141</v>
      </c>
      <c r="W12" s="539">
        <f>DRE!Y46</f>
        <v>-1483.1603250207766</v>
      </c>
      <c r="X12" s="539">
        <f>DRE!Z46</f>
        <v>-1486.9174248520599</v>
      </c>
      <c r="Y12" s="539">
        <f>DRE!AA46</f>
        <v>-1490.6872988227692</v>
      </c>
      <c r="Z12" s="539">
        <f>DRE!AB46</f>
        <v>-1494.4699903649794</v>
      </c>
      <c r="AA12" s="539">
        <f>DRE!AC46</f>
        <v>-1498.2655430584327</v>
      </c>
      <c r="AB12" s="539">
        <f>DRE!AD46</f>
        <v>-1502.0740006310443</v>
      </c>
      <c r="AC12" s="539">
        <f>DRE!AE46</f>
        <v>-1505.8954069594024</v>
      </c>
      <c r="AD12" s="539">
        <f>DRE!AF46</f>
        <v>-1509.7298060692769</v>
      </c>
      <c r="AE12" s="539">
        <f>DRE!AG46</f>
        <v>-1513.5772421361248</v>
      </c>
      <c r="AF12" s="539">
        <f>DRE!AH46</f>
        <v>-1517.4377594856007</v>
      </c>
    </row>
    <row r="13" spans="2:32">
      <c r="B13" s="556" t="str">
        <f>DRE!A50</f>
        <v>Lucro Líquido</v>
      </c>
      <c r="C13" s="557">
        <f>DRE!E50</f>
        <v>4102.4293940145162</v>
      </c>
      <c r="D13" s="557">
        <f>DRE!F50</f>
        <v>4476.1518003726596</v>
      </c>
      <c r="E13" s="557">
        <f>DRE!G50</f>
        <v>2750.2400936822332</v>
      </c>
      <c r="F13" s="557">
        <f>DRE!H50</f>
        <v>2776.2996695463962</v>
      </c>
      <c r="G13" s="557">
        <f>DRE!I50</f>
        <v>2802.4478479684994</v>
      </c>
      <c r="H13" s="557">
        <f>DRE!J50</f>
        <v>2828.684930197237</v>
      </c>
      <c r="I13" s="557">
        <f>DRE!K50</f>
        <v>2855.0112185055518</v>
      </c>
      <c r="J13" s="557">
        <f>DRE!L50</f>
        <v>2881.4270161941149</v>
      </c>
      <c r="K13" s="557">
        <f>DRE!M50</f>
        <v>2907.9326275948183</v>
      </c>
      <c r="L13" s="557">
        <f>DRE!N50</f>
        <v>2934.5283580742853</v>
      </c>
      <c r="M13" s="557">
        <f>DRE!O50</f>
        <v>2961.2145140373823</v>
      </c>
      <c r="N13" s="557">
        <f>DRE!P50</f>
        <v>2987.9914029307538</v>
      </c>
      <c r="O13" s="557">
        <f>DRE!Q50</f>
        <v>3014.8593332463615</v>
      </c>
      <c r="P13" s="557">
        <f>DRE!R50</f>
        <v>3041.8186145250456</v>
      </c>
      <c r="Q13" s="557">
        <f>DRE!S50</f>
        <v>3068.8695573600726</v>
      </c>
      <c r="R13" s="557">
        <f>DRE!T50</f>
        <v>3096.01247340074</v>
      </c>
      <c r="S13" s="557">
        <f>DRE!U50</f>
        <v>3123.2476753559486</v>
      </c>
      <c r="T13" s="557">
        <f>DRE!V50</f>
        <v>3150.5754769978048</v>
      </c>
      <c r="U13" s="557">
        <f>DRE!W50</f>
        <v>3177.996193165241</v>
      </c>
      <c r="V13" s="557">
        <f>DRE!X50</f>
        <v>3205.5101397676444</v>
      </c>
      <c r="W13" s="557">
        <f>DRE!Y50</f>
        <v>3233.1176337884999</v>
      </c>
      <c r="X13" s="557">
        <f>DRE!Z50</f>
        <v>3260.818993289025</v>
      </c>
      <c r="Y13" s="557">
        <f>DRE!AA50</f>
        <v>3288.6145374118519</v>
      </c>
      <c r="Z13" s="557">
        <f>DRE!AB50</f>
        <v>3316.5045863846976</v>
      </c>
      <c r="AA13" s="557">
        <f>DRE!AC50</f>
        <v>3344.4894615240464</v>
      </c>
      <c r="AB13" s="557">
        <f>DRE!AD50</f>
        <v>3372.5694852388742</v>
      </c>
      <c r="AC13" s="557">
        <f>DRE!AE50</f>
        <v>3400.744981034331</v>
      </c>
      <c r="AD13" s="557">
        <f>DRE!AF50</f>
        <v>3429.0162735154913</v>
      </c>
      <c r="AE13" s="557">
        <f>DRE!AG50</f>
        <v>3457.383688391084</v>
      </c>
      <c r="AF13" s="557">
        <f>DRE!AH50</f>
        <v>3485.8475524772621</v>
      </c>
    </row>
    <row r="15" spans="2:32">
      <c r="C15" s="554">
        <f>C2</f>
        <v>1</v>
      </c>
      <c r="D15" s="554">
        <f t="shared" ref="D15:AF15" si="0">D2</f>
        <v>2</v>
      </c>
      <c r="E15" s="554">
        <f t="shared" si="0"/>
        <v>3</v>
      </c>
      <c r="F15" s="554">
        <f t="shared" si="0"/>
        <v>4</v>
      </c>
      <c r="G15" s="555">
        <f t="shared" si="0"/>
        <v>5</v>
      </c>
      <c r="H15" s="554">
        <f t="shared" si="0"/>
        <v>6</v>
      </c>
      <c r="I15" s="554">
        <f t="shared" si="0"/>
        <v>7</v>
      </c>
      <c r="J15" s="554">
        <f t="shared" si="0"/>
        <v>8</v>
      </c>
      <c r="K15" s="554">
        <f t="shared" si="0"/>
        <v>9</v>
      </c>
      <c r="L15" s="555">
        <f t="shared" si="0"/>
        <v>10</v>
      </c>
      <c r="M15" s="554">
        <f t="shared" si="0"/>
        <v>11</v>
      </c>
      <c r="N15" s="554">
        <f t="shared" si="0"/>
        <v>12</v>
      </c>
      <c r="O15" s="554">
        <f t="shared" si="0"/>
        <v>13</v>
      </c>
      <c r="P15" s="554">
        <f t="shared" si="0"/>
        <v>14</v>
      </c>
      <c r="Q15" s="555">
        <f t="shared" si="0"/>
        <v>15</v>
      </c>
      <c r="R15" s="554">
        <f t="shared" si="0"/>
        <v>16</v>
      </c>
      <c r="S15" s="554">
        <f t="shared" si="0"/>
        <v>17</v>
      </c>
      <c r="T15" s="554">
        <f t="shared" si="0"/>
        <v>18</v>
      </c>
      <c r="U15" s="554">
        <f t="shared" si="0"/>
        <v>19</v>
      </c>
      <c r="V15" s="555">
        <f t="shared" si="0"/>
        <v>20</v>
      </c>
      <c r="W15" s="554">
        <f t="shared" si="0"/>
        <v>21</v>
      </c>
      <c r="X15" s="554">
        <f t="shared" si="0"/>
        <v>22</v>
      </c>
      <c r="Y15" s="554">
        <f t="shared" si="0"/>
        <v>23</v>
      </c>
      <c r="Z15" s="554">
        <f t="shared" si="0"/>
        <v>24</v>
      </c>
      <c r="AA15" s="555">
        <f t="shared" si="0"/>
        <v>25</v>
      </c>
      <c r="AB15" s="554">
        <f t="shared" si="0"/>
        <v>26</v>
      </c>
      <c r="AC15" s="554">
        <f t="shared" si="0"/>
        <v>27</v>
      </c>
      <c r="AD15" s="554">
        <f t="shared" si="0"/>
        <v>28</v>
      </c>
      <c r="AE15" s="554">
        <f t="shared" si="0"/>
        <v>29</v>
      </c>
      <c r="AF15" s="555">
        <f t="shared" si="0"/>
        <v>30</v>
      </c>
    </row>
    <row r="16" spans="2:32">
      <c r="B16" s="556" t="str">
        <f>B3</f>
        <v>Receita bruta</v>
      </c>
      <c r="C16" s="557">
        <f>C3*1000</f>
        <v>8408806.0465005282</v>
      </c>
      <c r="D16" s="557">
        <f t="shared" ref="D16:AF25" si="1">D3*1000</f>
        <v>12691548.526090953</v>
      </c>
      <c r="E16" s="557">
        <f t="shared" si="1"/>
        <v>13250627.42723475</v>
      </c>
      <c r="F16" s="557">
        <f t="shared" si="1"/>
        <v>13283112.967897393</v>
      </c>
      <c r="G16" s="557">
        <f t="shared" si="1"/>
        <v>13315708.959398286</v>
      </c>
      <c r="H16" s="557">
        <f t="shared" si="1"/>
        <v>13348415.777270284</v>
      </c>
      <c r="I16" s="557">
        <f t="shared" si="1"/>
        <v>13381233.798323046</v>
      </c>
      <c r="J16" s="557">
        <f t="shared" si="1"/>
        <v>13414163.400647387</v>
      </c>
      <c r="K16" s="557">
        <f t="shared" si="1"/>
        <v>13447204.963619629</v>
      </c>
      <c r="L16" s="557">
        <f t="shared" si="1"/>
        <v>13480358.867905978</v>
      </c>
      <c r="M16" s="557">
        <f t="shared" si="1"/>
        <v>13513625.495466903</v>
      </c>
      <c r="N16" s="557">
        <f t="shared" si="1"/>
        <v>13547005.229561532</v>
      </c>
      <c r="O16" s="557">
        <f t="shared" si="1"/>
        <v>13580498.454752084</v>
      </c>
      <c r="P16" s="557">
        <f t="shared" si="1"/>
        <v>13614105.556908285</v>
      </c>
      <c r="Q16" s="557">
        <f t="shared" si="1"/>
        <v>13647826.923211813</v>
      </c>
      <c r="R16" s="557">
        <f t="shared" si="1"/>
        <v>13681662.942160776</v>
      </c>
      <c r="S16" s="557">
        <f t="shared" si="1"/>
        <v>13715614.003574166</v>
      </c>
      <c r="T16" s="557">
        <f t="shared" si="1"/>
        <v>13749680.498596363</v>
      </c>
      <c r="U16" s="557">
        <f t="shared" si="1"/>
        <v>13783862.819701632</v>
      </c>
      <c r="V16" s="557">
        <f t="shared" si="1"/>
        <v>13818161.360698657</v>
      </c>
      <c r="W16" s="557">
        <f t="shared" si="1"/>
        <v>13852576.516735079</v>
      </c>
      <c r="X16" s="557">
        <f t="shared" si="1"/>
        <v>13887108.684302021</v>
      </c>
      <c r="Y16" s="557">
        <f t="shared" si="1"/>
        <v>13921758.261238689</v>
      </c>
      <c r="Z16" s="557">
        <f t="shared" si="1"/>
        <v>13956525.646736944</v>
      </c>
      <c r="AA16" s="557">
        <f t="shared" si="1"/>
        <v>13991411.24134589</v>
      </c>
      <c r="AB16" s="557">
        <f t="shared" si="1"/>
        <v>14026415.446976511</v>
      </c>
      <c r="AC16" s="557">
        <f t="shared" si="1"/>
        <v>14061538.666906271</v>
      </c>
      <c r="AD16" s="557">
        <f t="shared" si="1"/>
        <v>14096781.305783795</v>
      </c>
      <c r="AE16" s="557">
        <f t="shared" si="1"/>
        <v>14132143.7696335</v>
      </c>
      <c r="AF16" s="557">
        <f t="shared" si="1"/>
        <v>14167626.4658603</v>
      </c>
    </row>
    <row r="17" spans="2:32">
      <c r="B17" t="str">
        <f t="shared" ref="B17:B26" si="2">B4</f>
        <v>Deduções da Receita Bruta</v>
      </c>
      <c r="C17" s="539">
        <f t="shared" ref="C17:R26" si="3">C4*1000</f>
        <v>-487076.87162478449</v>
      </c>
      <c r="D17" s="539">
        <f t="shared" si="3"/>
        <v>-857534.09610935638</v>
      </c>
      <c r="E17" s="539">
        <f t="shared" si="3"/>
        <v>-1146179.2724558059</v>
      </c>
      <c r="F17" s="539">
        <f t="shared" si="3"/>
        <v>-1148989.2717231247</v>
      </c>
      <c r="G17" s="539">
        <f t="shared" si="3"/>
        <v>-1151808.8249879517</v>
      </c>
      <c r="H17" s="539">
        <f t="shared" si="3"/>
        <v>-1154637.9647338795</v>
      </c>
      <c r="I17" s="539">
        <f t="shared" si="3"/>
        <v>-1157476.7235549435</v>
      </c>
      <c r="J17" s="539">
        <f t="shared" si="3"/>
        <v>-1160325.1341559989</v>
      </c>
      <c r="K17" s="539">
        <f t="shared" si="3"/>
        <v>-1163183.229353098</v>
      </c>
      <c r="L17" s="539">
        <f t="shared" si="3"/>
        <v>-1166051.0420738671</v>
      </c>
      <c r="M17" s="539">
        <f t="shared" si="3"/>
        <v>-1168928.6053578872</v>
      </c>
      <c r="N17" s="539">
        <f t="shared" si="3"/>
        <v>-1171815.9523570726</v>
      </c>
      <c r="O17" s="539">
        <f t="shared" si="3"/>
        <v>-1174713.1163360553</v>
      </c>
      <c r="P17" s="539">
        <f t="shared" si="3"/>
        <v>-1177620.1306725668</v>
      </c>
      <c r="Q17" s="539">
        <f t="shared" si="3"/>
        <v>-1180537.0288578221</v>
      </c>
      <c r="R17" s="539">
        <f t="shared" si="3"/>
        <v>-1183463.8444969072</v>
      </c>
      <c r="S17" s="539">
        <f t="shared" si="1"/>
        <v>-1186400.6113091654</v>
      </c>
      <c r="T17" s="539">
        <f t="shared" si="1"/>
        <v>-1189347.3631285853</v>
      </c>
      <c r="U17" s="539">
        <f t="shared" si="1"/>
        <v>-1192304.1339041912</v>
      </c>
      <c r="V17" s="539">
        <f t="shared" si="1"/>
        <v>-1195270.9577004339</v>
      </c>
      <c r="W17" s="539">
        <f t="shared" si="1"/>
        <v>-1198247.8686975844</v>
      </c>
      <c r="X17" s="539">
        <f t="shared" si="1"/>
        <v>-1201234.9011921247</v>
      </c>
      <c r="Y17" s="539">
        <f t="shared" si="1"/>
        <v>-1204232.0895971465</v>
      </c>
      <c r="Z17" s="539">
        <f t="shared" si="1"/>
        <v>-1207239.4684427457</v>
      </c>
      <c r="AA17" s="539">
        <f t="shared" si="1"/>
        <v>-1210257.0723764196</v>
      </c>
      <c r="AB17" s="539">
        <f t="shared" si="1"/>
        <v>-1213284.9361634683</v>
      </c>
      <c r="AC17" s="539">
        <f t="shared" si="1"/>
        <v>-1216323.0946873925</v>
      </c>
      <c r="AD17" s="539">
        <f t="shared" si="1"/>
        <v>-1219371.5829502984</v>
      </c>
      <c r="AE17" s="539">
        <f t="shared" si="1"/>
        <v>-1222430.4360732976</v>
      </c>
      <c r="AF17" s="539">
        <f t="shared" si="1"/>
        <v>-1225499.6892969161</v>
      </c>
    </row>
    <row r="18" spans="2:32">
      <c r="B18" s="556" t="str">
        <f t="shared" si="2"/>
        <v>Receita líquida total</v>
      </c>
      <c r="C18" s="557">
        <f t="shared" si="3"/>
        <v>7921729.1748757428</v>
      </c>
      <c r="D18" s="557">
        <f t="shared" si="1"/>
        <v>11834014.429981597</v>
      </c>
      <c r="E18" s="557">
        <f t="shared" si="1"/>
        <v>12104448.154778946</v>
      </c>
      <c r="F18" s="557">
        <f t="shared" si="1"/>
        <v>12134123.696174268</v>
      </c>
      <c r="G18" s="557">
        <f t="shared" si="1"/>
        <v>12163900.134410335</v>
      </c>
      <c r="H18" s="557">
        <f t="shared" si="1"/>
        <v>12193777.812536404</v>
      </c>
      <c r="I18" s="557">
        <f t="shared" si="1"/>
        <v>12223757.074768102</v>
      </c>
      <c r="J18" s="557">
        <f t="shared" si="1"/>
        <v>12253838.266491387</v>
      </c>
      <c r="K18" s="557">
        <f t="shared" si="1"/>
        <v>12284021.734266531</v>
      </c>
      <c r="L18" s="557">
        <f t="shared" si="1"/>
        <v>12314307.825832112</v>
      </c>
      <c r="M18" s="557">
        <f t="shared" si="1"/>
        <v>12344696.890109016</v>
      </c>
      <c r="N18" s="557">
        <f t="shared" si="1"/>
        <v>12375189.27720446</v>
      </c>
      <c r="O18" s="557">
        <f t="shared" si="1"/>
        <v>12405785.338416029</v>
      </c>
      <c r="P18" s="557">
        <f t="shared" si="1"/>
        <v>12436485.426235719</v>
      </c>
      <c r="Q18" s="557">
        <f t="shared" si="1"/>
        <v>12467289.894353991</v>
      </c>
      <c r="R18" s="557">
        <f t="shared" si="1"/>
        <v>12498199.097663868</v>
      </c>
      <c r="S18" s="557">
        <f t="shared" si="1"/>
        <v>12529213.392265001</v>
      </c>
      <c r="T18" s="557">
        <f t="shared" si="1"/>
        <v>12560333.135467777</v>
      </c>
      <c r="U18" s="557">
        <f t="shared" si="1"/>
        <v>12591558.685797442</v>
      </c>
      <c r="V18" s="557">
        <f t="shared" si="1"/>
        <v>12622890.402998224</v>
      </c>
      <c r="W18" s="557">
        <f t="shared" si="1"/>
        <v>12654328.648037493</v>
      </c>
      <c r="X18" s="557">
        <f t="shared" si="1"/>
        <v>12685873.783109896</v>
      </c>
      <c r="Y18" s="557">
        <f t="shared" si="1"/>
        <v>12717526.171641542</v>
      </c>
      <c r="Z18" s="557">
        <f t="shared" si="1"/>
        <v>12749286.178294199</v>
      </c>
      <c r="AA18" s="557">
        <f t="shared" si="1"/>
        <v>12781154.168969469</v>
      </c>
      <c r="AB18" s="557">
        <f t="shared" si="1"/>
        <v>12813130.510813043</v>
      </c>
      <c r="AC18" s="557">
        <f t="shared" si="1"/>
        <v>12845215.57221888</v>
      </c>
      <c r="AD18" s="557">
        <f t="shared" si="1"/>
        <v>12877409.722833497</v>
      </c>
      <c r="AE18" s="557">
        <f t="shared" si="1"/>
        <v>12909713.3335602</v>
      </c>
      <c r="AF18" s="557">
        <f t="shared" si="1"/>
        <v>12942126.776563384</v>
      </c>
    </row>
    <row r="19" spans="2:32">
      <c r="B19" s="556" t="str">
        <f t="shared" si="2"/>
        <v>Custos e Despesas Operacionais</v>
      </c>
      <c r="C19" s="557">
        <f t="shared" si="3"/>
        <v>-2639008.8126031808</v>
      </c>
      <c r="D19" s="557">
        <f t="shared" si="1"/>
        <v>-5249615.7955484642</v>
      </c>
      <c r="E19" s="557">
        <f t="shared" si="1"/>
        <v>-6882902.3231461374</v>
      </c>
      <c r="F19" s="557">
        <f t="shared" si="1"/>
        <v>-6882983.8618532009</v>
      </c>
      <c r="G19" s="557">
        <f t="shared" si="1"/>
        <v>-6883065.6777918683</v>
      </c>
      <c r="H19" s="557">
        <f t="shared" si="1"/>
        <v>-6883147.7719047274</v>
      </c>
      <c r="I19" s="557">
        <f t="shared" si="1"/>
        <v>-6883230.1451375699</v>
      </c>
      <c r="J19" s="557">
        <f t="shared" si="1"/>
        <v>-6883312.798439404</v>
      </c>
      <c r="K19" s="557">
        <f t="shared" si="1"/>
        <v>-6883395.7327624643</v>
      </c>
      <c r="L19" s="557">
        <f t="shared" si="1"/>
        <v>-6883478.9490622226</v>
      </c>
      <c r="M19" s="557">
        <f t="shared" si="1"/>
        <v>-6883562.448297401</v>
      </c>
      <c r="N19" s="557">
        <f t="shared" si="1"/>
        <v>-6883646.2314299783</v>
      </c>
      <c r="O19" s="557">
        <f t="shared" si="1"/>
        <v>-6883730.2994252071</v>
      </c>
      <c r="P19" s="557">
        <f t="shared" si="1"/>
        <v>-6883814.6532516181</v>
      </c>
      <c r="Q19" s="557">
        <f t="shared" si="1"/>
        <v>-6883899.293881041</v>
      </c>
      <c r="R19" s="557">
        <f t="shared" si="1"/>
        <v>-6883984.222288603</v>
      </c>
      <c r="S19" s="557">
        <f t="shared" si="1"/>
        <v>-6884069.4394527497</v>
      </c>
      <c r="T19" s="557">
        <f t="shared" si="1"/>
        <v>-6884154.9463552553</v>
      </c>
      <c r="U19" s="557">
        <f t="shared" si="1"/>
        <v>-6884240.7439812291</v>
      </c>
      <c r="V19" s="557">
        <f t="shared" si="1"/>
        <v>-6884326.8333191322</v>
      </c>
      <c r="W19" s="557">
        <f t="shared" si="1"/>
        <v>-6884413.215360784</v>
      </c>
      <c r="X19" s="557">
        <f t="shared" si="1"/>
        <v>-6884499.8911013771</v>
      </c>
      <c r="Y19" s="557">
        <f t="shared" si="1"/>
        <v>-6884586.8615394887</v>
      </c>
      <c r="Z19" s="557">
        <f t="shared" si="1"/>
        <v>-6884674.1276770877</v>
      </c>
      <c r="AA19" s="557">
        <f t="shared" si="1"/>
        <v>-6884761.6905195573</v>
      </c>
      <c r="AB19" s="557">
        <f t="shared" si="1"/>
        <v>-6884849.5510756904</v>
      </c>
      <c r="AC19" s="557">
        <f t="shared" si="1"/>
        <v>-6884937.7103577135</v>
      </c>
      <c r="AD19" s="557">
        <f t="shared" si="1"/>
        <v>-6885026.1693812963</v>
      </c>
      <c r="AE19" s="557">
        <f t="shared" si="1"/>
        <v>-6885114.9291655589</v>
      </c>
      <c r="AF19" s="557">
        <f t="shared" si="1"/>
        <v>-6885203.990733088</v>
      </c>
    </row>
    <row r="20" spans="2:32">
      <c r="B20" t="str">
        <f t="shared" si="2"/>
        <v>EBITDA</v>
      </c>
      <c r="C20" s="539">
        <f t="shared" si="3"/>
        <v>5282720.3622725615</v>
      </c>
      <c r="D20" s="539">
        <f t="shared" si="1"/>
        <v>6584398.6344331326</v>
      </c>
      <c r="E20" s="539">
        <f t="shared" si="1"/>
        <v>5221545.8316328079</v>
      </c>
      <c r="F20" s="539">
        <f t="shared" si="1"/>
        <v>5251139.8343210658</v>
      </c>
      <c r="G20" s="539">
        <f t="shared" si="1"/>
        <v>5280834.4566184664</v>
      </c>
      <c r="H20" s="539">
        <f t="shared" si="1"/>
        <v>5310630.040631677</v>
      </c>
      <c r="I20" s="539">
        <f t="shared" si="1"/>
        <v>5340526.9296305319</v>
      </c>
      <c r="J20" s="539">
        <f t="shared" si="1"/>
        <v>5370525.468051984</v>
      </c>
      <c r="K20" s="539">
        <f t="shared" si="1"/>
        <v>5400626.0015040673</v>
      </c>
      <c r="L20" s="539">
        <f t="shared" si="1"/>
        <v>5430828.8767698882</v>
      </c>
      <c r="M20" s="539">
        <f t="shared" si="1"/>
        <v>5461134.4418116137</v>
      </c>
      <c r="N20" s="539">
        <f t="shared" si="1"/>
        <v>5491543.0457744813</v>
      </c>
      <c r="O20" s="539">
        <f t="shared" si="1"/>
        <v>5522055.0389908217</v>
      </c>
      <c r="P20" s="539">
        <f t="shared" si="1"/>
        <v>5552670.7729841005</v>
      </c>
      <c r="Q20" s="539">
        <f t="shared" si="1"/>
        <v>5583390.6004729504</v>
      </c>
      <c r="R20" s="539">
        <f t="shared" si="1"/>
        <v>5614214.8753752653</v>
      </c>
      <c r="S20" s="539">
        <f t="shared" si="1"/>
        <v>5645143.9528122507</v>
      </c>
      <c r="T20" s="539">
        <f t="shared" si="1"/>
        <v>5676178.1891125217</v>
      </c>
      <c r="U20" s="539">
        <f t="shared" si="1"/>
        <v>5707317.9418162117</v>
      </c>
      <c r="V20" s="539">
        <f t="shared" si="1"/>
        <v>5738563.5696790917</v>
      </c>
      <c r="W20" s="539">
        <f t="shared" si="1"/>
        <v>5769915.4326767093</v>
      </c>
      <c r="X20" s="539">
        <f t="shared" si="1"/>
        <v>5801373.8920085179</v>
      </c>
      <c r="Y20" s="539">
        <f t="shared" si="1"/>
        <v>5832939.3101020539</v>
      </c>
      <c r="Z20" s="539">
        <f t="shared" si="1"/>
        <v>5864612.05061711</v>
      </c>
      <c r="AA20" s="539">
        <f t="shared" si="1"/>
        <v>5896392.4784499118</v>
      </c>
      <c r="AB20" s="539">
        <f t="shared" si="1"/>
        <v>5928280.9597373512</v>
      </c>
      <c r="AC20" s="539">
        <f t="shared" si="1"/>
        <v>5960277.8618611665</v>
      </c>
      <c r="AD20" s="539">
        <f t="shared" si="1"/>
        <v>5992383.5534522012</v>
      </c>
      <c r="AE20" s="539">
        <f t="shared" si="1"/>
        <v>6024598.4043946415</v>
      </c>
      <c r="AF20" s="539">
        <f t="shared" si="1"/>
        <v>6056922.7858302956</v>
      </c>
    </row>
    <row r="21" spans="2:32">
      <c r="B21" t="str">
        <f t="shared" si="2"/>
        <v>Amortização do intangível</v>
      </c>
      <c r="C21" s="539">
        <f t="shared" si="3"/>
        <v>-591643.98984444444</v>
      </c>
      <c r="D21" s="539">
        <f t="shared" si="1"/>
        <v>-1053637.4738674331</v>
      </c>
      <c r="E21" s="539">
        <f t="shared" si="1"/>
        <v>-1053637.4738674331</v>
      </c>
      <c r="F21" s="539">
        <f t="shared" si="1"/>
        <v>-1053637.4738674331</v>
      </c>
      <c r="G21" s="539">
        <f t="shared" si="1"/>
        <v>-1053637.4738674331</v>
      </c>
      <c r="H21" s="539">
        <f t="shared" si="1"/>
        <v>-1053637.4738674331</v>
      </c>
      <c r="I21" s="539">
        <f t="shared" si="1"/>
        <v>-1053637.4738674331</v>
      </c>
      <c r="J21" s="539">
        <f t="shared" si="1"/>
        <v>-1053637.4738674331</v>
      </c>
      <c r="K21" s="539">
        <f t="shared" si="1"/>
        <v>-1053637.4738674331</v>
      </c>
      <c r="L21" s="539">
        <f t="shared" si="1"/>
        <v>-1053637.4738674331</v>
      </c>
      <c r="M21" s="539">
        <f t="shared" si="1"/>
        <v>-1053637.4738674331</v>
      </c>
      <c r="N21" s="539">
        <f t="shared" si="1"/>
        <v>-1053637.4738674331</v>
      </c>
      <c r="O21" s="539">
        <f t="shared" si="1"/>
        <v>-1053637.4738674331</v>
      </c>
      <c r="P21" s="539">
        <f t="shared" si="1"/>
        <v>-1053637.4738674331</v>
      </c>
      <c r="Q21" s="539">
        <f t="shared" si="1"/>
        <v>-1053637.4738674331</v>
      </c>
      <c r="R21" s="539">
        <f t="shared" si="1"/>
        <v>-1053637.4738674331</v>
      </c>
      <c r="S21" s="539">
        <f t="shared" si="1"/>
        <v>-1053637.4738674331</v>
      </c>
      <c r="T21" s="539">
        <f t="shared" si="1"/>
        <v>-1053637.4738674331</v>
      </c>
      <c r="U21" s="539">
        <f t="shared" si="1"/>
        <v>-1053637.4738674331</v>
      </c>
      <c r="V21" s="539">
        <f t="shared" si="1"/>
        <v>-1053637.4738674331</v>
      </c>
      <c r="W21" s="539">
        <f t="shared" si="1"/>
        <v>-1053637.4738674331</v>
      </c>
      <c r="X21" s="539">
        <f t="shared" si="1"/>
        <v>-1053637.4738674331</v>
      </c>
      <c r="Y21" s="539">
        <f t="shared" si="1"/>
        <v>-1053637.4738674331</v>
      </c>
      <c r="Z21" s="539">
        <f t="shared" si="1"/>
        <v>-1053637.4738674331</v>
      </c>
      <c r="AA21" s="539">
        <f t="shared" si="1"/>
        <v>-1053637.4738674331</v>
      </c>
      <c r="AB21" s="539">
        <f t="shared" si="1"/>
        <v>-1053637.4738674331</v>
      </c>
      <c r="AC21" s="539">
        <f t="shared" si="1"/>
        <v>-1053637.4738674331</v>
      </c>
      <c r="AD21" s="539">
        <f t="shared" si="1"/>
        <v>-1053637.4738674331</v>
      </c>
      <c r="AE21" s="539">
        <f t="shared" si="1"/>
        <v>-1053637.4738674331</v>
      </c>
      <c r="AF21" s="539">
        <f t="shared" si="1"/>
        <v>-1053637.4738674331</v>
      </c>
    </row>
    <row r="22" spans="2:32">
      <c r="B22" s="556" t="str">
        <f t="shared" si="2"/>
        <v>Resultado bruto</v>
      </c>
      <c r="C22" s="557">
        <f t="shared" si="3"/>
        <v>4691076.3724281183</v>
      </c>
      <c r="D22" s="557">
        <f t="shared" si="1"/>
        <v>5530761.1605656995</v>
      </c>
      <c r="E22" s="557">
        <f t="shared" si="1"/>
        <v>4167908.3577653747</v>
      </c>
      <c r="F22" s="557">
        <f t="shared" si="1"/>
        <v>4197502.3604536327</v>
      </c>
      <c r="G22" s="557">
        <f t="shared" si="1"/>
        <v>4227196.9827510333</v>
      </c>
      <c r="H22" s="557">
        <f t="shared" si="1"/>
        <v>4256992.5667642439</v>
      </c>
      <c r="I22" s="557">
        <f t="shared" si="1"/>
        <v>4286889.4557630997</v>
      </c>
      <c r="J22" s="557">
        <f t="shared" si="1"/>
        <v>4316887.9941845508</v>
      </c>
      <c r="K22" s="557">
        <f t="shared" si="1"/>
        <v>4346988.5276366342</v>
      </c>
      <c r="L22" s="557">
        <f t="shared" si="1"/>
        <v>4377191.402902456</v>
      </c>
      <c r="M22" s="557">
        <f t="shared" si="1"/>
        <v>4407496.9679441806</v>
      </c>
      <c r="N22" s="557">
        <f t="shared" si="1"/>
        <v>4437905.5719070481</v>
      </c>
      <c r="O22" s="557">
        <f t="shared" si="1"/>
        <v>4468417.5651233885</v>
      </c>
      <c r="P22" s="557">
        <f t="shared" si="1"/>
        <v>4499033.2991166674</v>
      </c>
      <c r="Q22" s="557">
        <f t="shared" si="1"/>
        <v>4529753.1266055172</v>
      </c>
      <c r="R22" s="557">
        <f t="shared" si="1"/>
        <v>4560577.4015078321</v>
      </c>
      <c r="S22" s="557">
        <f t="shared" si="1"/>
        <v>4591506.4789448176</v>
      </c>
      <c r="T22" s="557">
        <f t="shared" si="1"/>
        <v>4622540.7152450886</v>
      </c>
      <c r="U22" s="557">
        <f t="shared" si="1"/>
        <v>4653680.4679487785</v>
      </c>
      <c r="V22" s="557">
        <f t="shared" si="1"/>
        <v>4684926.0958116585</v>
      </c>
      <c r="W22" s="557">
        <f t="shared" si="1"/>
        <v>4716277.9588092761</v>
      </c>
      <c r="X22" s="557">
        <f t="shared" si="1"/>
        <v>4747736.4181410847</v>
      </c>
      <c r="Y22" s="557">
        <f t="shared" si="1"/>
        <v>4779301.8362346208</v>
      </c>
      <c r="Z22" s="557">
        <f t="shared" si="1"/>
        <v>4810974.5767496768</v>
      </c>
      <c r="AA22" s="557">
        <f t="shared" si="1"/>
        <v>4842755.0045824796</v>
      </c>
      <c r="AB22" s="557">
        <f t="shared" si="1"/>
        <v>4874643.4858699189</v>
      </c>
      <c r="AC22" s="557">
        <f t="shared" si="1"/>
        <v>4906640.3879937334</v>
      </c>
      <c r="AD22" s="557">
        <f t="shared" si="1"/>
        <v>4938746.079584768</v>
      </c>
      <c r="AE22" s="557">
        <f t="shared" si="1"/>
        <v>4970960.9305272084</v>
      </c>
      <c r="AF22" s="557">
        <f t="shared" si="1"/>
        <v>5003285.3119628625</v>
      </c>
    </row>
    <row r="23" spans="2:32">
      <c r="B23" t="str">
        <f t="shared" si="2"/>
        <v>Resultado Financeiro Líquido</v>
      </c>
      <c r="C23" s="539">
        <f t="shared" si="3"/>
        <v>0</v>
      </c>
      <c r="D23" s="539">
        <f t="shared" si="1"/>
        <v>0</v>
      </c>
      <c r="E23" s="539">
        <f t="shared" si="1"/>
        <v>0</v>
      </c>
      <c r="F23" s="539">
        <f t="shared" si="1"/>
        <v>0</v>
      </c>
      <c r="G23" s="539">
        <f t="shared" si="1"/>
        <v>0</v>
      </c>
      <c r="H23" s="539">
        <f t="shared" si="1"/>
        <v>0</v>
      </c>
      <c r="I23" s="539">
        <f t="shared" si="1"/>
        <v>0</v>
      </c>
      <c r="J23" s="539">
        <f t="shared" si="1"/>
        <v>0</v>
      </c>
      <c r="K23" s="539">
        <f t="shared" si="1"/>
        <v>0</v>
      </c>
      <c r="L23" s="539">
        <f t="shared" si="1"/>
        <v>0</v>
      </c>
      <c r="M23" s="539">
        <f t="shared" si="1"/>
        <v>0</v>
      </c>
      <c r="N23" s="539">
        <f t="shared" si="1"/>
        <v>0</v>
      </c>
      <c r="O23" s="539">
        <f t="shared" si="1"/>
        <v>0</v>
      </c>
      <c r="P23" s="539">
        <f t="shared" si="1"/>
        <v>0</v>
      </c>
      <c r="Q23" s="539">
        <f t="shared" si="1"/>
        <v>0</v>
      </c>
      <c r="R23" s="539">
        <f t="shared" si="1"/>
        <v>0</v>
      </c>
      <c r="S23" s="539">
        <f t="shared" si="1"/>
        <v>0</v>
      </c>
      <c r="T23" s="539">
        <f t="shared" si="1"/>
        <v>0</v>
      </c>
      <c r="U23" s="539">
        <f t="shared" si="1"/>
        <v>0</v>
      </c>
      <c r="V23" s="539">
        <f t="shared" si="1"/>
        <v>0</v>
      </c>
      <c r="W23" s="539">
        <f t="shared" si="1"/>
        <v>0</v>
      </c>
      <c r="X23" s="539">
        <f t="shared" si="1"/>
        <v>0</v>
      </c>
      <c r="Y23" s="539">
        <f t="shared" si="1"/>
        <v>0</v>
      </c>
      <c r="Z23" s="539">
        <f t="shared" si="1"/>
        <v>0</v>
      </c>
      <c r="AA23" s="539">
        <f t="shared" si="1"/>
        <v>0</v>
      </c>
      <c r="AB23" s="539">
        <f t="shared" si="1"/>
        <v>0</v>
      </c>
      <c r="AC23" s="539">
        <f t="shared" si="1"/>
        <v>0</v>
      </c>
      <c r="AD23" s="539">
        <f t="shared" si="1"/>
        <v>0</v>
      </c>
      <c r="AE23" s="539">
        <f t="shared" si="1"/>
        <v>0</v>
      </c>
      <c r="AF23" s="539">
        <f t="shared" si="1"/>
        <v>0</v>
      </c>
    </row>
    <row r="24" spans="2:32">
      <c r="B24" t="str">
        <f t="shared" si="2"/>
        <v>Lucro antes de Impostos sobre a Renda</v>
      </c>
      <c r="C24" s="539">
        <f t="shared" si="3"/>
        <v>4691076.3724281183</v>
      </c>
      <c r="D24" s="539">
        <f t="shared" si="1"/>
        <v>5530761.1605656995</v>
      </c>
      <c r="E24" s="539">
        <f t="shared" si="1"/>
        <v>4167908.3577653747</v>
      </c>
      <c r="F24" s="539">
        <f t="shared" si="1"/>
        <v>4197502.3604536327</v>
      </c>
      <c r="G24" s="539">
        <f t="shared" si="1"/>
        <v>4227196.9827510333</v>
      </c>
      <c r="H24" s="539">
        <f t="shared" si="1"/>
        <v>4256992.5667642439</v>
      </c>
      <c r="I24" s="539">
        <f t="shared" si="1"/>
        <v>4286889.4557630997</v>
      </c>
      <c r="J24" s="539">
        <f t="shared" si="1"/>
        <v>4316887.9941845508</v>
      </c>
      <c r="K24" s="539">
        <f t="shared" si="1"/>
        <v>4346988.5276366342</v>
      </c>
      <c r="L24" s="539">
        <f t="shared" si="1"/>
        <v>4377191.402902456</v>
      </c>
      <c r="M24" s="539">
        <f t="shared" si="1"/>
        <v>4407496.9679441806</v>
      </c>
      <c r="N24" s="539">
        <f t="shared" si="1"/>
        <v>4437905.5719070481</v>
      </c>
      <c r="O24" s="539">
        <f t="shared" si="1"/>
        <v>4468417.5651233885</v>
      </c>
      <c r="P24" s="539">
        <f t="shared" si="1"/>
        <v>4499033.2991166674</v>
      </c>
      <c r="Q24" s="539">
        <f t="shared" si="1"/>
        <v>4529753.1266055172</v>
      </c>
      <c r="R24" s="539">
        <f t="shared" si="1"/>
        <v>4560577.4015078321</v>
      </c>
      <c r="S24" s="539">
        <f t="shared" si="1"/>
        <v>4591506.4789448176</v>
      </c>
      <c r="T24" s="539">
        <f t="shared" si="1"/>
        <v>4622540.7152450886</v>
      </c>
      <c r="U24" s="539">
        <f t="shared" si="1"/>
        <v>4653680.4679487785</v>
      </c>
      <c r="V24" s="539">
        <f t="shared" si="1"/>
        <v>4684926.0958116585</v>
      </c>
      <c r="W24" s="539">
        <f t="shared" si="1"/>
        <v>4716277.9588092761</v>
      </c>
      <c r="X24" s="539">
        <f t="shared" si="1"/>
        <v>4747736.4181410847</v>
      </c>
      <c r="Y24" s="539">
        <f t="shared" si="1"/>
        <v>4779301.8362346208</v>
      </c>
      <c r="Z24" s="539">
        <f t="shared" si="1"/>
        <v>4810974.5767496768</v>
      </c>
      <c r="AA24" s="539">
        <f t="shared" si="1"/>
        <v>4842755.0045824796</v>
      </c>
      <c r="AB24" s="539">
        <f t="shared" si="1"/>
        <v>4874643.4858699189</v>
      </c>
      <c r="AC24" s="539">
        <f t="shared" si="1"/>
        <v>4906640.3879937334</v>
      </c>
      <c r="AD24" s="539">
        <f t="shared" si="1"/>
        <v>4938746.079584768</v>
      </c>
      <c r="AE24" s="539">
        <f t="shared" si="1"/>
        <v>4970960.9305272084</v>
      </c>
      <c r="AF24" s="539">
        <f t="shared" si="1"/>
        <v>5003285.3119628625</v>
      </c>
    </row>
    <row r="25" spans="2:32">
      <c r="B25" t="str">
        <f>B12</f>
        <v>Impostos sobre a Renda</v>
      </c>
      <c r="C25" s="539">
        <f t="shared" si="3"/>
        <v>-588646.97841360164</v>
      </c>
      <c r="D25" s="539">
        <f t="shared" si="1"/>
        <v>-1054609.3601930402</v>
      </c>
      <c r="E25" s="539">
        <f t="shared" si="1"/>
        <v>-1417668.2640831412</v>
      </c>
      <c r="F25" s="539">
        <f t="shared" si="1"/>
        <v>-1421202.6909072362</v>
      </c>
      <c r="G25" s="539">
        <f t="shared" si="1"/>
        <v>-1424749.1347825334</v>
      </c>
      <c r="H25" s="539">
        <f t="shared" si="1"/>
        <v>-1428307.6365670071</v>
      </c>
      <c r="I25" s="539">
        <f t="shared" si="1"/>
        <v>-1431878.2372575474</v>
      </c>
      <c r="J25" s="539">
        <f t="shared" si="1"/>
        <v>-1435460.9779904359</v>
      </c>
      <c r="K25" s="539">
        <f t="shared" si="1"/>
        <v>-1439055.9000418156</v>
      </c>
      <c r="L25" s="539">
        <f t="shared" si="1"/>
        <v>-1442663.0448281702</v>
      </c>
      <c r="M25" s="539">
        <f t="shared" ref="D25:AF26" si="4">M12*1000</f>
        <v>-1446282.453906799</v>
      </c>
      <c r="N25" s="539">
        <f t="shared" si="4"/>
        <v>-1449914.1689762946</v>
      </c>
      <c r="O25" s="539">
        <f t="shared" si="4"/>
        <v>-1453558.2318770266</v>
      </c>
      <c r="P25" s="539">
        <f t="shared" si="4"/>
        <v>-1457214.6845916214</v>
      </c>
      <c r="Q25" s="539">
        <f t="shared" si="4"/>
        <v>-1460883.5692454451</v>
      </c>
      <c r="R25" s="539">
        <f t="shared" si="4"/>
        <v>-1464564.9281070924</v>
      </c>
      <c r="S25" s="539">
        <f t="shared" si="4"/>
        <v>-1468258.8035888693</v>
      </c>
      <c r="T25" s="539">
        <f t="shared" si="4"/>
        <v>-1471965.2382472842</v>
      </c>
      <c r="U25" s="539">
        <f t="shared" si="4"/>
        <v>-1475684.2747835375</v>
      </c>
      <c r="V25" s="539">
        <f t="shared" si="4"/>
        <v>-1479415.9560440141</v>
      </c>
      <c r="W25" s="539">
        <f t="shared" si="4"/>
        <v>-1483160.3250207766</v>
      </c>
      <c r="X25" s="539">
        <f t="shared" si="4"/>
        <v>-1486917.4248520599</v>
      </c>
      <c r="Y25" s="539">
        <f t="shared" si="4"/>
        <v>-1490687.2988227692</v>
      </c>
      <c r="Z25" s="539">
        <f t="shared" si="4"/>
        <v>-1494469.9903649793</v>
      </c>
      <c r="AA25" s="539">
        <f t="shared" si="4"/>
        <v>-1498265.5430584326</v>
      </c>
      <c r="AB25" s="539">
        <f t="shared" si="4"/>
        <v>-1502074.0006310444</v>
      </c>
      <c r="AC25" s="539">
        <f t="shared" si="4"/>
        <v>-1505895.4069594024</v>
      </c>
      <c r="AD25" s="539">
        <f t="shared" si="4"/>
        <v>-1509729.806069277</v>
      </c>
      <c r="AE25" s="539">
        <f t="shared" si="4"/>
        <v>-1513577.2421361248</v>
      </c>
      <c r="AF25" s="539">
        <f t="shared" si="4"/>
        <v>-1517437.7594856007</v>
      </c>
    </row>
    <row r="26" spans="2:32">
      <c r="B26" s="556" t="str">
        <f t="shared" si="2"/>
        <v>Lucro Líquido</v>
      </c>
      <c r="C26" s="557">
        <f t="shared" si="3"/>
        <v>4102429.3940145164</v>
      </c>
      <c r="D26" s="557">
        <f t="shared" si="4"/>
        <v>4476151.8003726592</v>
      </c>
      <c r="E26" s="557">
        <f t="shared" si="4"/>
        <v>2750240.0936822332</v>
      </c>
      <c r="F26" s="557">
        <f t="shared" si="4"/>
        <v>2776299.669546396</v>
      </c>
      <c r="G26" s="557">
        <f t="shared" si="4"/>
        <v>2802447.8479684996</v>
      </c>
      <c r="H26" s="557">
        <f t="shared" si="4"/>
        <v>2828684.9301972371</v>
      </c>
      <c r="I26" s="557">
        <f t="shared" si="4"/>
        <v>2855011.218505552</v>
      </c>
      <c r="J26" s="557">
        <f t="shared" si="4"/>
        <v>2881427.0161941149</v>
      </c>
      <c r="K26" s="557">
        <f t="shared" si="4"/>
        <v>2907932.6275948184</v>
      </c>
      <c r="L26" s="557">
        <f t="shared" si="4"/>
        <v>2934528.3580742851</v>
      </c>
      <c r="M26" s="557">
        <f t="shared" si="4"/>
        <v>2961214.5140373823</v>
      </c>
      <c r="N26" s="557">
        <f t="shared" si="4"/>
        <v>2987991.4029307538</v>
      </c>
      <c r="O26" s="557">
        <f t="shared" si="4"/>
        <v>3014859.3332463615</v>
      </c>
      <c r="P26" s="557">
        <f t="shared" si="4"/>
        <v>3041818.6145250457</v>
      </c>
      <c r="Q26" s="557">
        <f t="shared" si="4"/>
        <v>3068869.5573600726</v>
      </c>
      <c r="R26" s="557">
        <f t="shared" si="4"/>
        <v>3096012.47340074</v>
      </c>
      <c r="S26" s="557">
        <f t="shared" si="4"/>
        <v>3123247.6753559485</v>
      </c>
      <c r="T26" s="557">
        <f t="shared" si="4"/>
        <v>3150575.4769978048</v>
      </c>
      <c r="U26" s="557">
        <f t="shared" si="4"/>
        <v>3177996.1931652408</v>
      </c>
      <c r="V26" s="557">
        <f t="shared" si="4"/>
        <v>3205510.1397676445</v>
      </c>
      <c r="W26" s="557">
        <f t="shared" si="4"/>
        <v>3233117.6337885</v>
      </c>
      <c r="X26" s="557">
        <f t="shared" si="4"/>
        <v>3260818.993289025</v>
      </c>
      <c r="Y26" s="557">
        <f t="shared" si="4"/>
        <v>3288614.5374118518</v>
      </c>
      <c r="Z26" s="557">
        <f t="shared" si="4"/>
        <v>3316504.5863846978</v>
      </c>
      <c r="AA26" s="557">
        <f t="shared" si="4"/>
        <v>3344489.4615240465</v>
      </c>
      <c r="AB26" s="557">
        <f t="shared" si="4"/>
        <v>3372569.4852388743</v>
      </c>
      <c r="AC26" s="557">
        <f t="shared" si="4"/>
        <v>3400744.981034331</v>
      </c>
      <c r="AD26" s="557">
        <f t="shared" si="4"/>
        <v>3429016.2735154913</v>
      </c>
      <c r="AE26" s="557">
        <f t="shared" si="4"/>
        <v>3457383.6883910839</v>
      </c>
      <c r="AF26" s="557">
        <f t="shared" si="4"/>
        <v>3485847.552477262</v>
      </c>
    </row>
    <row r="29" spans="2:32">
      <c r="C29" s="558">
        <f>G15</f>
        <v>5</v>
      </c>
      <c r="D29" s="558">
        <f>L15</f>
        <v>10</v>
      </c>
      <c r="E29" s="558">
        <f>Q15</f>
        <v>15</v>
      </c>
      <c r="F29" s="558">
        <f>V15</f>
        <v>20</v>
      </c>
      <c r="G29" s="558">
        <f>AA15</f>
        <v>25</v>
      </c>
      <c r="H29" s="558">
        <f>AF15</f>
        <v>30</v>
      </c>
    </row>
    <row r="30" spans="2:32">
      <c r="B30" s="556" t="str">
        <f>B16</f>
        <v>Receita bruta</v>
      </c>
      <c r="C30" s="557">
        <f t="shared" ref="C30:C40" si="5">G16</f>
        <v>13315708.959398286</v>
      </c>
      <c r="D30" s="557">
        <f t="shared" ref="D30:D40" si="6">L16</f>
        <v>13480358.867905978</v>
      </c>
      <c r="E30" s="557">
        <f t="shared" ref="E30:E40" si="7">Q16</f>
        <v>13647826.923211813</v>
      </c>
      <c r="F30" s="557">
        <f t="shared" ref="F30:F40" si="8">V16</f>
        <v>13818161.360698657</v>
      </c>
      <c r="G30" s="557">
        <f t="shared" ref="G30:G40" si="9">AA16</f>
        <v>13991411.24134589</v>
      </c>
      <c r="H30" s="557">
        <f t="shared" ref="H30:H40" si="10">AF16</f>
        <v>14167626.4658603</v>
      </c>
    </row>
    <row r="31" spans="2:32">
      <c r="B31" t="str">
        <f t="shared" ref="B31:B40" si="11">B17</f>
        <v>Deduções da Receita Bruta</v>
      </c>
      <c r="C31" s="539">
        <f t="shared" si="5"/>
        <v>-1151808.8249879517</v>
      </c>
      <c r="D31" s="539">
        <f t="shared" si="6"/>
        <v>-1166051.0420738671</v>
      </c>
      <c r="E31" s="539">
        <f t="shared" si="7"/>
        <v>-1180537.0288578221</v>
      </c>
      <c r="F31" s="539">
        <f t="shared" si="8"/>
        <v>-1195270.9577004339</v>
      </c>
      <c r="G31" s="539">
        <f t="shared" si="9"/>
        <v>-1210257.0723764196</v>
      </c>
      <c r="H31" s="539">
        <f t="shared" si="10"/>
        <v>-1225499.6892969161</v>
      </c>
    </row>
    <row r="32" spans="2:32">
      <c r="B32" s="556" t="str">
        <f t="shared" si="11"/>
        <v>Receita líquida total</v>
      </c>
      <c r="C32" s="557">
        <f t="shared" si="5"/>
        <v>12163900.134410335</v>
      </c>
      <c r="D32" s="557">
        <f t="shared" si="6"/>
        <v>12314307.825832112</v>
      </c>
      <c r="E32" s="557">
        <f t="shared" si="7"/>
        <v>12467289.894353991</v>
      </c>
      <c r="F32" s="557">
        <f t="shared" si="8"/>
        <v>12622890.402998224</v>
      </c>
      <c r="G32" s="557">
        <f t="shared" si="9"/>
        <v>12781154.168969469</v>
      </c>
      <c r="H32" s="557">
        <f t="shared" si="10"/>
        <v>12942126.776563384</v>
      </c>
    </row>
    <row r="33" spans="2:8">
      <c r="B33" s="556" t="str">
        <f t="shared" si="11"/>
        <v>Custos e Despesas Operacionais</v>
      </c>
      <c r="C33" s="557">
        <f t="shared" si="5"/>
        <v>-6883065.6777918683</v>
      </c>
      <c r="D33" s="557">
        <f t="shared" si="6"/>
        <v>-6883478.9490622226</v>
      </c>
      <c r="E33" s="557">
        <f t="shared" si="7"/>
        <v>-6883899.293881041</v>
      </c>
      <c r="F33" s="557">
        <f t="shared" si="8"/>
        <v>-6884326.8333191322</v>
      </c>
      <c r="G33" s="557">
        <f t="shared" si="9"/>
        <v>-6884761.6905195573</v>
      </c>
      <c r="H33" s="557">
        <f t="shared" si="10"/>
        <v>-6885203.990733088</v>
      </c>
    </row>
    <row r="34" spans="2:8">
      <c r="B34" t="str">
        <f t="shared" si="11"/>
        <v>EBITDA</v>
      </c>
      <c r="C34" s="539">
        <f t="shared" si="5"/>
        <v>5280834.4566184664</v>
      </c>
      <c r="D34" s="539">
        <f t="shared" si="6"/>
        <v>5430828.8767698882</v>
      </c>
      <c r="E34" s="539">
        <f t="shared" si="7"/>
        <v>5583390.6004729504</v>
      </c>
      <c r="F34" s="539">
        <f t="shared" si="8"/>
        <v>5738563.5696790917</v>
      </c>
      <c r="G34" s="539">
        <f t="shared" si="9"/>
        <v>5896392.4784499118</v>
      </c>
      <c r="H34" s="539">
        <f t="shared" si="10"/>
        <v>6056922.7858302956</v>
      </c>
    </row>
    <row r="35" spans="2:8">
      <c r="B35" t="str">
        <f t="shared" si="11"/>
        <v>Amortização do intangível</v>
      </c>
      <c r="C35" s="539">
        <f t="shared" si="5"/>
        <v>-1053637.4738674331</v>
      </c>
      <c r="D35" s="539">
        <f t="shared" si="6"/>
        <v>-1053637.4738674331</v>
      </c>
      <c r="E35" s="539">
        <f t="shared" si="7"/>
        <v>-1053637.4738674331</v>
      </c>
      <c r="F35" s="539">
        <f t="shared" si="8"/>
        <v>-1053637.4738674331</v>
      </c>
      <c r="G35" s="539">
        <f t="shared" si="9"/>
        <v>-1053637.4738674331</v>
      </c>
      <c r="H35" s="539">
        <f t="shared" si="10"/>
        <v>-1053637.4738674331</v>
      </c>
    </row>
    <row r="36" spans="2:8">
      <c r="B36" s="556" t="str">
        <f t="shared" si="11"/>
        <v>Resultado bruto</v>
      </c>
      <c r="C36" s="557">
        <f t="shared" si="5"/>
        <v>4227196.9827510333</v>
      </c>
      <c r="D36" s="557">
        <f t="shared" si="6"/>
        <v>4377191.402902456</v>
      </c>
      <c r="E36" s="557">
        <f t="shared" si="7"/>
        <v>4529753.1266055172</v>
      </c>
      <c r="F36" s="557">
        <f t="shared" si="8"/>
        <v>4684926.0958116585</v>
      </c>
      <c r="G36" s="557">
        <f t="shared" si="9"/>
        <v>4842755.0045824796</v>
      </c>
      <c r="H36" s="557">
        <f t="shared" si="10"/>
        <v>5003285.3119628625</v>
      </c>
    </row>
    <row r="37" spans="2:8">
      <c r="B37" t="str">
        <f t="shared" si="11"/>
        <v>Resultado Financeiro Líquido</v>
      </c>
      <c r="C37" s="539">
        <f t="shared" si="5"/>
        <v>0</v>
      </c>
      <c r="D37" s="539">
        <f t="shared" si="6"/>
        <v>0</v>
      </c>
      <c r="E37" s="539">
        <f t="shared" si="7"/>
        <v>0</v>
      </c>
      <c r="F37" s="539">
        <f t="shared" si="8"/>
        <v>0</v>
      </c>
      <c r="G37" s="539">
        <f t="shared" si="9"/>
        <v>0</v>
      </c>
      <c r="H37" s="539">
        <f t="shared" si="10"/>
        <v>0</v>
      </c>
    </row>
    <row r="38" spans="2:8">
      <c r="B38" t="str">
        <f t="shared" si="11"/>
        <v>Lucro antes de Impostos sobre a Renda</v>
      </c>
      <c r="C38" s="539">
        <f t="shared" si="5"/>
        <v>4227196.9827510333</v>
      </c>
      <c r="D38" s="539">
        <f t="shared" si="6"/>
        <v>4377191.402902456</v>
      </c>
      <c r="E38" s="539">
        <f t="shared" si="7"/>
        <v>4529753.1266055172</v>
      </c>
      <c r="F38" s="539">
        <f t="shared" si="8"/>
        <v>4684926.0958116585</v>
      </c>
      <c r="G38" s="539">
        <f t="shared" si="9"/>
        <v>4842755.0045824796</v>
      </c>
      <c r="H38" s="539">
        <f t="shared" si="10"/>
        <v>5003285.3119628625</v>
      </c>
    </row>
    <row r="39" spans="2:8">
      <c r="B39" t="str">
        <f t="shared" si="11"/>
        <v>Impostos sobre a Renda</v>
      </c>
      <c r="C39" s="539">
        <f t="shared" si="5"/>
        <v>-1424749.1347825334</v>
      </c>
      <c r="D39" s="539">
        <f t="shared" si="6"/>
        <v>-1442663.0448281702</v>
      </c>
      <c r="E39" s="539">
        <f t="shared" si="7"/>
        <v>-1460883.5692454451</v>
      </c>
      <c r="F39" s="539">
        <f t="shared" si="8"/>
        <v>-1479415.9560440141</v>
      </c>
      <c r="G39" s="539">
        <f t="shared" si="9"/>
        <v>-1498265.5430584326</v>
      </c>
      <c r="H39" s="539">
        <f t="shared" si="10"/>
        <v>-1517437.7594856007</v>
      </c>
    </row>
    <row r="40" spans="2:8">
      <c r="B40" s="556" t="str">
        <f t="shared" si="11"/>
        <v>Lucro Líquido</v>
      </c>
      <c r="C40" s="557">
        <f t="shared" si="5"/>
        <v>2802447.8479684996</v>
      </c>
      <c r="D40" s="557">
        <f t="shared" si="6"/>
        <v>2934528.3580742851</v>
      </c>
      <c r="E40" s="557">
        <f t="shared" si="7"/>
        <v>3068869.5573600726</v>
      </c>
      <c r="F40" s="557">
        <f t="shared" si="8"/>
        <v>3205510.1397676445</v>
      </c>
      <c r="G40" s="557">
        <f t="shared" si="9"/>
        <v>3344489.4615240465</v>
      </c>
      <c r="H40" s="557">
        <f t="shared" si="10"/>
        <v>3485847.552477262</v>
      </c>
    </row>
  </sheetData>
  <sheetProtection password="C643" sheet="1" objects="1" scenarios="1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95"/>
  <sheetViews>
    <sheetView zoomScale="85" zoomScaleNormal="85" workbookViewId="0">
      <pane xSplit="1" ySplit="3" topLeftCell="B37" activePane="bottomRight" state="frozen"/>
      <selection pane="bottomRight" activeCell="G68" sqref="G68"/>
      <selection pane="bottomLeft" activeCell="G68" sqref="G68"/>
      <selection pane="topRight" activeCell="G68" sqref="G68"/>
    </sheetView>
  </sheetViews>
  <sheetFormatPr defaultColWidth="14.42578125" defaultRowHeight="15" customHeight="1"/>
  <cols>
    <col min="1" max="1" width="46.5703125" bestFit="1" customWidth="1"/>
    <col min="2" max="3" width="17" bestFit="1" customWidth="1"/>
    <col min="4" max="4" width="17" style="583" bestFit="1" customWidth="1"/>
    <col min="5" max="7" width="17" bestFit="1" customWidth="1"/>
    <col min="8" max="34" width="14.42578125" bestFit="1" customWidth="1"/>
    <col min="35" max="40" width="7.85546875" bestFit="1" customWidth="1"/>
  </cols>
  <sheetData>
    <row r="1" spans="1:40" s="148" customFormat="1" ht="12" customHeight="1">
      <c r="A1" s="146" t="s">
        <v>153</v>
      </c>
      <c r="B1" s="147"/>
      <c r="C1" s="147"/>
      <c r="D1" s="573"/>
      <c r="E1" s="146">
        <f>DRE!E1</f>
        <v>2025</v>
      </c>
      <c r="F1" s="146">
        <f>DRE!F1</f>
        <v>2026</v>
      </c>
      <c r="G1" s="146">
        <f>DRE!G1</f>
        <v>2027</v>
      </c>
      <c r="H1" s="146">
        <f>DRE!H1</f>
        <v>2028</v>
      </c>
      <c r="I1" s="146">
        <f>DRE!I1</f>
        <v>2029</v>
      </c>
      <c r="J1" s="146">
        <f>DRE!J1</f>
        <v>2030</v>
      </c>
      <c r="K1" s="146">
        <f>DRE!K1</f>
        <v>2031</v>
      </c>
      <c r="L1" s="146">
        <f>DRE!L1</f>
        <v>2032</v>
      </c>
      <c r="M1" s="146">
        <f>DRE!M1</f>
        <v>2033</v>
      </c>
      <c r="N1" s="146">
        <f>DRE!N1</f>
        <v>2034</v>
      </c>
      <c r="O1" s="146">
        <f>DRE!O1</f>
        <v>2035</v>
      </c>
      <c r="P1" s="146">
        <f>DRE!P1</f>
        <v>2036</v>
      </c>
      <c r="Q1" s="146">
        <f>DRE!Q1</f>
        <v>2037</v>
      </c>
      <c r="R1" s="146">
        <f>DRE!R1</f>
        <v>2038</v>
      </c>
      <c r="S1" s="146">
        <f>DRE!S1</f>
        <v>2039</v>
      </c>
      <c r="T1" s="146">
        <f>DRE!T1</f>
        <v>2040</v>
      </c>
      <c r="U1" s="146">
        <f>DRE!U1</f>
        <v>2041</v>
      </c>
      <c r="V1" s="146">
        <f>DRE!V1</f>
        <v>2042</v>
      </c>
      <c r="W1" s="146">
        <f>DRE!W1</f>
        <v>2043</v>
      </c>
      <c r="X1" s="146">
        <f>DRE!X1</f>
        <v>2044</v>
      </c>
      <c r="Y1" s="146">
        <f>DRE!Y1</f>
        <v>2045</v>
      </c>
      <c r="Z1" s="146">
        <f>DRE!Z1</f>
        <v>2046</v>
      </c>
      <c r="AA1" s="146">
        <f>DRE!AA1</f>
        <v>2047</v>
      </c>
      <c r="AB1" s="146">
        <f>DRE!AB1</f>
        <v>2048</v>
      </c>
      <c r="AC1" s="146">
        <f>DRE!AC1</f>
        <v>2049</v>
      </c>
      <c r="AD1" s="146">
        <f>DRE!AD1</f>
        <v>2050</v>
      </c>
      <c r="AE1" s="146">
        <f>DRE!AE1</f>
        <v>2051</v>
      </c>
      <c r="AF1" s="146">
        <f>DRE!AF1</f>
        <v>2052</v>
      </c>
      <c r="AG1" s="146">
        <f>DRE!AG1</f>
        <v>2053</v>
      </c>
      <c r="AH1" s="146">
        <f>DRE!AH1</f>
        <v>2054</v>
      </c>
      <c r="AI1" s="146">
        <f>DRE!AI1</f>
        <v>2055</v>
      </c>
      <c r="AJ1" s="146">
        <f>DRE!AJ1</f>
        <v>2056</v>
      </c>
      <c r="AK1" s="146">
        <f>DRE!AK1</f>
        <v>2057</v>
      </c>
      <c r="AL1" s="146">
        <f>DRE!AL1</f>
        <v>2058</v>
      </c>
      <c r="AM1" s="146">
        <f>DRE!AM1</f>
        <v>2059</v>
      </c>
      <c r="AN1" s="146">
        <f>DRE!AN1</f>
        <v>2060</v>
      </c>
    </row>
    <row r="2" spans="1:40" s="151" customFormat="1" ht="12" customHeight="1">
      <c r="A2" s="153" t="s">
        <v>107</v>
      </c>
      <c r="B2" s="153"/>
      <c r="C2" s="153"/>
      <c r="D2" s="574"/>
      <c r="E2" s="153">
        <f>DRE!E2</f>
        <v>1</v>
      </c>
      <c r="F2" s="153">
        <f>DRE!F2</f>
        <v>2</v>
      </c>
      <c r="G2" s="153">
        <f>DRE!G2</f>
        <v>3</v>
      </c>
      <c r="H2" s="153">
        <f>DRE!H2</f>
        <v>4</v>
      </c>
      <c r="I2" s="153">
        <f>DRE!I2</f>
        <v>5</v>
      </c>
      <c r="J2" s="153">
        <f>DRE!J2</f>
        <v>6</v>
      </c>
      <c r="K2" s="153">
        <f>DRE!K2</f>
        <v>7</v>
      </c>
      <c r="L2" s="153">
        <f>DRE!L2</f>
        <v>8</v>
      </c>
      <c r="M2" s="153">
        <f>DRE!M2</f>
        <v>9</v>
      </c>
      <c r="N2" s="153">
        <f>DRE!N2</f>
        <v>10</v>
      </c>
      <c r="O2" s="153">
        <f>DRE!O2</f>
        <v>11</v>
      </c>
      <c r="P2" s="153">
        <f>DRE!P2</f>
        <v>12</v>
      </c>
      <c r="Q2" s="153">
        <f>DRE!Q2</f>
        <v>13</v>
      </c>
      <c r="R2" s="153">
        <f>DRE!R2</f>
        <v>14</v>
      </c>
      <c r="S2" s="153">
        <f>DRE!S2</f>
        <v>15</v>
      </c>
      <c r="T2" s="153">
        <f>DRE!T2</f>
        <v>16</v>
      </c>
      <c r="U2" s="153">
        <f>DRE!U2</f>
        <v>17</v>
      </c>
      <c r="V2" s="153">
        <f>DRE!V2</f>
        <v>18</v>
      </c>
      <c r="W2" s="153">
        <f>DRE!W2</f>
        <v>19</v>
      </c>
      <c r="X2" s="153">
        <f>DRE!X2</f>
        <v>20</v>
      </c>
      <c r="Y2" s="153">
        <f>DRE!Y2</f>
        <v>21</v>
      </c>
      <c r="Z2" s="153">
        <f>DRE!Z2</f>
        <v>22</v>
      </c>
      <c r="AA2" s="153">
        <f>DRE!AA2</f>
        <v>23</v>
      </c>
      <c r="AB2" s="153">
        <f>DRE!AB2</f>
        <v>24</v>
      </c>
      <c r="AC2" s="153">
        <f>DRE!AC2</f>
        <v>25</v>
      </c>
      <c r="AD2" s="153">
        <f>DRE!AD2</f>
        <v>26</v>
      </c>
      <c r="AE2" s="153">
        <f>DRE!AE2</f>
        <v>27</v>
      </c>
      <c r="AF2" s="153">
        <f>DRE!AF2</f>
        <v>28</v>
      </c>
      <c r="AG2" s="153">
        <f>DRE!AG2</f>
        <v>29</v>
      </c>
      <c r="AH2" s="153">
        <f>DRE!AH2</f>
        <v>30</v>
      </c>
      <c r="AI2" s="153">
        <f>DRE!AI2</f>
        <v>31</v>
      </c>
      <c r="AJ2" s="153">
        <f>DRE!AJ2</f>
        <v>32</v>
      </c>
      <c r="AK2" s="153">
        <f>DRE!AK2</f>
        <v>33</v>
      </c>
      <c r="AL2" s="153">
        <f>DRE!AL2</f>
        <v>34</v>
      </c>
      <c r="AM2" s="153">
        <f>DRE!AM2</f>
        <v>35</v>
      </c>
      <c r="AN2" s="153">
        <f>DRE!AN2</f>
        <v>36</v>
      </c>
    </row>
    <row r="3" spans="1:40" s="151" customFormat="1" ht="12" customHeight="1">
      <c r="A3" s="153" t="s">
        <v>108</v>
      </c>
      <c r="B3" s="153"/>
      <c r="C3" s="153"/>
      <c r="D3" s="574"/>
      <c r="E3" s="155">
        <f>Painel!C12</f>
        <v>0.42704022332739999</v>
      </c>
      <c r="F3" s="155">
        <f>Painel!C13</f>
        <v>0.75</v>
      </c>
      <c r="G3" s="155">
        <f>DRE!G3</f>
        <v>1</v>
      </c>
      <c r="H3" s="155">
        <f>DRE!H3</f>
        <v>1</v>
      </c>
      <c r="I3" s="155">
        <f>DRE!I3</f>
        <v>1</v>
      </c>
      <c r="J3" s="155">
        <f>DRE!J3</f>
        <v>1</v>
      </c>
      <c r="K3" s="155">
        <f>DRE!K3</f>
        <v>1</v>
      </c>
      <c r="L3" s="155">
        <f>DRE!L3</f>
        <v>1</v>
      </c>
      <c r="M3" s="155">
        <f>DRE!M3</f>
        <v>1</v>
      </c>
      <c r="N3" s="155">
        <f>DRE!N3</f>
        <v>1</v>
      </c>
      <c r="O3" s="155">
        <f>DRE!O3</f>
        <v>1</v>
      </c>
      <c r="P3" s="155">
        <f>DRE!P3</f>
        <v>1</v>
      </c>
      <c r="Q3" s="155">
        <f>DRE!Q3</f>
        <v>1</v>
      </c>
      <c r="R3" s="155">
        <f>DRE!R3</f>
        <v>1</v>
      </c>
      <c r="S3" s="155">
        <f>DRE!S3</f>
        <v>1</v>
      </c>
      <c r="T3" s="155">
        <f>DRE!T3</f>
        <v>1</v>
      </c>
      <c r="U3" s="155">
        <f>DRE!U3</f>
        <v>1</v>
      </c>
      <c r="V3" s="155">
        <f>DRE!V3</f>
        <v>1</v>
      </c>
      <c r="W3" s="155">
        <f>DRE!W3</f>
        <v>1</v>
      </c>
      <c r="X3" s="155">
        <f>DRE!X3</f>
        <v>1</v>
      </c>
      <c r="Y3" s="155">
        <f>DRE!Y3</f>
        <v>1</v>
      </c>
      <c r="Z3" s="155">
        <f>DRE!Z3</f>
        <v>1</v>
      </c>
      <c r="AA3" s="155">
        <f>DRE!AA3</f>
        <v>1</v>
      </c>
      <c r="AB3" s="155">
        <f>DRE!AB3</f>
        <v>1</v>
      </c>
      <c r="AC3" s="155">
        <f>DRE!AC3</f>
        <v>1</v>
      </c>
      <c r="AD3" s="155">
        <f>DRE!AD3</f>
        <v>1</v>
      </c>
      <c r="AE3" s="155">
        <f>DRE!AE3</f>
        <v>1</v>
      </c>
      <c r="AF3" s="155">
        <f>DRE!AF3</f>
        <v>1</v>
      </c>
      <c r="AG3" s="155">
        <f>DRE!AG3</f>
        <v>1</v>
      </c>
      <c r="AH3" s="155">
        <f>DRE!AH3</f>
        <v>1</v>
      </c>
      <c r="AI3" s="155">
        <f>DRE!AI3</f>
        <v>0</v>
      </c>
      <c r="AJ3" s="155">
        <f>DRE!AJ3</f>
        <v>0</v>
      </c>
      <c r="AK3" s="155">
        <f>DRE!AK3</f>
        <v>0</v>
      </c>
      <c r="AL3" s="155">
        <f>DRE!AL3</f>
        <v>0</v>
      </c>
      <c r="AM3" s="155">
        <f>DRE!AM3</f>
        <v>0</v>
      </c>
      <c r="AN3" s="155">
        <f>DRE!AN3</f>
        <v>0</v>
      </c>
    </row>
    <row r="4" spans="1:40" ht="12" customHeight="1">
      <c r="A4" s="60"/>
      <c r="B4" s="60"/>
      <c r="C4" s="60"/>
      <c r="D4" s="575"/>
      <c r="E4" s="73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</row>
    <row r="5" spans="1:40" ht="12" customHeight="1">
      <c r="A5" s="74" t="s">
        <v>154</v>
      </c>
      <c r="B5" s="60"/>
      <c r="C5" s="60"/>
      <c r="D5" s="575"/>
      <c r="E5" s="73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</row>
    <row r="6" spans="1:40" ht="12" customHeight="1">
      <c r="A6" s="75"/>
      <c r="B6" s="60"/>
      <c r="C6" s="60"/>
      <c r="D6" s="575"/>
      <c r="E6" s="73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</row>
    <row r="7" spans="1:40" ht="12" customHeight="1">
      <c r="A7" s="63" t="s">
        <v>130</v>
      </c>
      <c r="B7" s="72" t="s">
        <v>16</v>
      </c>
      <c r="C7" s="72"/>
      <c r="D7" s="576"/>
      <c r="E7" s="76">
        <f>(IF(Painel!$C$10="Base",E40,(IF(Painel!$C$10="Otimista",Receitas!E51,(IF(Painel!$C$10="Pessimista",Receitas!E62,IF(Painel!$C$10="-",Receitas!E40,0)))))))</f>
        <v>5630.9464927720746</v>
      </c>
      <c r="F7" s="76">
        <f>(IF(Painel!$C$10="Base",F40,(IF(Painel!$C$10="Otimista",Receitas!F51,(IF(Painel!$C$10="Pessimista",Receitas!F62,IF(Painel!$C$10="-",Receitas!F40,0)))))))</f>
        <v>9913.6889723625009</v>
      </c>
      <c r="G7" s="76">
        <f>(IF(Painel!$C$10="Base",G40,(IF(Painel!$C$10="Otimista",Receitas!G51,(IF(Painel!$C$10="Pessimista",Receitas!G62,IF(Painel!$C$10="-",Receitas!G40,0)))))))</f>
        <v>13250.627427234751</v>
      </c>
      <c r="H7" s="76">
        <f>(IF(Painel!$C$10="Base",H40,(IF(Painel!$C$10="Otimista",Receitas!H51,(IF(Painel!$C$10="Pessimista",Receitas!H62,IF(Painel!$C$10="-",Receitas!H40,0)))))))</f>
        <v>13283.112967897392</v>
      </c>
      <c r="I7" s="76">
        <f>(IF(Painel!$C$10="Base",I40,(IF(Painel!$C$10="Otimista",Receitas!I51,(IF(Painel!$C$10="Pessimista",Receitas!I62,IF(Painel!$C$10="-",Receitas!I40,0)))))))</f>
        <v>13315.708959398286</v>
      </c>
      <c r="J7" s="76">
        <f>(IF(Painel!$C$10="Base",J40,(IF(Painel!$C$10="Otimista",Receitas!J51,(IF(Painel!$C$10="Pessimista",Receitas!J62,IF(Painel!$C$10="-",Receitas!J40,0)))))))</f>
        <v>13348.415777270284</v>
      </c>
      <c r="K7" s="76">
        <f>(IF(Painel!$C$10="Base",K40,(IF(Painel!$C$10="Otimista",Receitas!K51,(IF(Painel!$C$10="Pessimista",Receitas!K62,IF(Painel!$C$10="-",Receitas!K40,0)))))))</f>
        <v>13381.233798323046</v>
      </c>
      <c r="L7" s="76">
        <f>(IF(Painel!$C$10="Base",L40,(IF(Painel!$C$10="Otimista",Receitas!L51,(IF(Painel!$C$10="Pessimista",Receitas!L62,IF(Painel!$C$10="-",Receitas!L40,0)))))))</f>
        <v>13414.163400647387</v>
      </c>
      <c r="M7" s="76">
        <f>(IF(Painel!$C$10="Base",M40,(IF(Painel!$C$10="Otimista",Receitas!M51,(IF(Painel!$C$10="Pessimista",Receitas!M62,IF(Painel!$C$10="-",Receitas!M40,0)))))))</f>
        <v>13447.20496361963</v>
      </c>
      <c r="N7" s="76">
        <f>(IF(Painel!$C$10="Base",N40,(IF(Painel!$C$10="Otimista",Receitas!N51,(IF(Painel!$C$10="Pessimista",Receitas!N62,IF(Painel!$C$10="-",Receitas!N40,0)))))))</f>
        <v>13480.358867905978</v>
      </c>
      <c r="O7" s="76">
        <f>(IF(Painel!$C$10="Base",O40,(IF(Painel!$C$10="Otimista",Receitas!O51,(IF(Painel!$C$10="Pessimista",Receitas!O62,IF(Painel!$C$10="-",Receitas!O40,0)))))))</f>
        <v>13513.625495466902</v>
      </c>
      <c r="P7" s="76">
        <f>(IF(Painel!$C$10="Base",P40,(IF(Painel!$C$10="Otimista",Receitas!P51,(IF(Painel!$C$10="Pessimista",Receitas!P62,IF(Painel!$C$10="-",Receitas!P40,0)))))))</f>
        <v>13547.005229561531</v>
      </c>
      <c r="Q7" s="76">
        <f>(IF(Painel!$C$10="Base",Q40,(IF(Painel!$C$10="Otimista",Receitas!Q51,(IF(Painel!$C$10="Pessimista",Receitas!Q62,IF(Painel!$C$10="-",Receitas!Q40,0)))))))</f>
        <v>13580.498454752083</v>
      </c>
      <c r="R7" s="76">
        <f>(IF(Painel!$C$10="Base",R40,(IF(Painel!$C$10="Otimista",Receitas!R51,(IF(Painel!$C$10="Pessimista",Receitas!R62,IF(Painel!$C$10="-",Receitas!R40,0)))))))</f>
        <v>13614.105556908286</v>
      </c>
      <c r="S7" s="76">
        <f>(IF(Painel!$C$10="Base",S40,(IF(Painel!$C$10="Otimista",Receitas!S51,(IF(Painel!$C$10="Pessimista",Receitas!S62,IF(Painel!$C$10="-",Receitas!S40,0)))))))</f>
        <v>13647.826923211813</v>
      </c>
      <c r="T7" s="76">
        <f>(IF(Painel!$C$10="Base",T40,(IF(Painel!$C$10="Otimista",Receitas!T51,(IF(Painel!$C$10="Pessimista",Receitas!T62,IF(Painel!$C$10="-",Receitas!T40,0)))))))</f>
        <v>13681.662942160776</v>
      </c>
      <c r="U7" s="76">
        <f>(IF(Painel!$C$10="Base",U40,(IF(Painel!$C$10="Otimista",Receitas!U51,(IF(Painel!$C$10="Pessimista",Receitas!U62,IF(Painel!$C$10="-",Receitas!U40,0)))))))</f>
        <v>13715.614003574166</v>
      </c>
      <c r="V7" s="76">
        <f>(IF(Painel!$C$10="Base",V40,(IF(Painel!$C$10="Otimista",Receitas!V51,(IF(Painel!$C$10="Pessimista",Receitas!V62,IF(Painel!$C$10="-",Receitas!V40,0)))))))</f>
        <v>13749.680498596363</v>
      </c>
      <c r="W7" s="76">
        <f>(IF(Painel!$C$10="Base",W40,(IF(Painel!$C$10="Otimista",Receitas!W51,(IF(Painel!$C$10="Pessimista",Receitas!W62,IF(Painel!$C$10="-",Receitas!W40,0)))))))</f>
        <v>13783.862819701633</v>
      </c>
      <c r="X7" s="76">
        <f>(IF(Painel!$C$10="Base",X40,(IF(Painel!$C$10="Otimista",Receitas!X51,(IF(Painel!$C$10="Pessimista",Receitas!X62,IF(Painel!$C$10="-",Receitas!X40,0)))))))</f>
        <v>13818.161360698658</v>
      </c>
      <c r="Y7" s="76">
        <f>(IF(Painel!$C$10="Base",Y40,(IF(Painel!$C$10="Otimista",Receitas!Y51,(IF(Painel!$C$10="Pessimista",Receitas!Y62,IF(Painel!$C$10="-",Receitas!Y40,0)))))))</f>
        <v>13852.576516735078</v>
      </c>
      <c r="Z7" s="76">
        <f>(IF(Painel!$C$10="Base",Z40,(IF(Painel!$C$10="Otimista",Receitas!Z51,(IF(Painel!$C$10="Pessimista",Receitas!Z62,IF(Painel!$C$10="-",Receitas!Z40,0)))))))</f>
        <v>13887.10868430202</v>
      </c>
      <c r="AA7" s="76">
        <f>(IF(Painel!$C$10="Base",AA40,(IF(Painel!$C$10="Otimista",Receitas!AA51,(IF(Painel!$C$10="Pessimista",Receitas!AA62,IF(Painel!$C$10="-",Receitas!AA40,0)))))))</f>
        <v>13921.758261238689</v>
      </c>
      <c r="AB7" s="76">
        <f>(IF(Painel!$C$10="Base",AB40,(IF(Painel!$C$10="Otimista",Receitas!AB51,(IF(Painel!$C$10="Pessimista",Receitas!AB62,IF(Painel!$C$10="-",Receitas!AB40,0)))))))</f>
        <v>13956.525646736944</v>
      </c>
      <c r="AC7" s="76">
        <f>(IF(Painel!$C$10="Base",AC40,(IF(Painel!$C$10="Otimista",Receitas!AC51,(IF(Painel!$C$10="Pessimista",Receitas!AC62,IF(Painel!$C$10="-",Receitas!AC40,0)))))))</f>
        <v>13991.41124134589</v>
      </c>
      <c r="AD7" s="76">
        <f>(IF(Painel!$C$10="Base",AD40,(IF(Painel!$C$10="Otimista",Receitas!AD51,(IF(Painel!$C$10="Pessimista",Receitas!AD62,IF(Painel!$C$10="-",Receitas!AD40,0)))))))</f>
        <v>14026.415446976511</v>
      </c>
      <c r="AE7" s="76">
        <f>(IF(Painel!$C$10="Base",AE40,(IF(Painel!$C$10="Otimista",Receitas!AE51,(IF(Painel!$C$10="Pessimista",Receitas!AE62,IF(Painel!$C$10="-",Receitas!AE40,0)))))))</f>
        <v>14061.538666906272</v>
      </c>
      <c r="AF7" s="76">
        <f>(IF(Painel!$C$10="Base",AF40,(IF(Painel!$C$10="Otimista",Receitas!AF51,(IF(Painel!$C$10="Pessimista",Receitas!AF62,IF(Painel!$C$10="-",Receitas!AF40,0)))))))</f>
        <v>14096.781305783796</v>
      </c>
      <c r="AG7" s="76">
        <f>(IF(Painel!$C$10="Base",AG40,(IF(Painel!$C$10="Otimista",Receitas!AG51,(IF(Painel!$C$10="Pessimista",Receitas!AG62,IF(Painel!$C$10="-",Receitas!AG40,0)))))))</f>
        <v>14132.1437696335</v>
      </c>
      <c r="AH7" s="76">
        <f>(IF(Painel!$C$10="Base",AH40,(IF(Painel!$C$10="Otimista",Receitas!AH51,(IF(Painel!$C$10="Pessimista",Receitas!AH62,IF(Painel!$C$10="-",Receitas!AH40,0)))))))</f>
        <v>14167.6264658603</v>
      </c>
      <c r="AI7" s="76">
        <f>(IF(Painel!$C$10="Base",AI40,(IF(Painel!$C$10="Otimista",Receitas!AI51,(IF(Painel!$C$10="Pessimista",Receitas!AI62,IF(Painel!$C$10="-",Receitas!AI40,0)))))))</f>
        <v>0</v>
      </c>
      <c r="AJ7" s="76">
        <f>(IF(Painel!$C$10="Base",AJ40,(IF(Painel!$C$10="Otimista",Receitas!AJ51,(IF(Painel!$C$10="Pessimista",Receitas!AJ62,IF(Painel!$C$10="-",Receitas!AJ40,0)))))))</f>
        <v>0</v>
      </c>
      <c r="AK7" s="76">
        <f>(IF(Painel!$C$10="Base",AK40,(IF(Painel!$C$10="Otimista",Receitas!AK51,(IF(Painel!$C$10="Pessimista",Receitas!AK62,IF(Painel!$C$10="-",Receitas!AK40,0)))))))</f>
        <v>0</v>
      </c>
      <c r="AL7" s="76">
        <f>(IF(Painel!$C$10="Base",AL40,(IF(Painel!$C$10="Otimista",Receitas!AL51,(IF(Painel!$C$10="Pessimista",Receitas!AL62,IF(Painel!$C$10="-",Receitas!AL40,0)))))))</f>
        <v>0</v>
      </c>
      <c r="AM7" s="76">
        <f>(IF(Painel!$C$10="Base",AM40,(IF(Painel!$C$10="Otimista",Receitas!AM51,(IF(Painel!$C$10="Pessimista",Receitas!AM62,IF(Painel!$C$10="-",Receitas!AM40,0)))))))</f>
        <v>0</v>
      </c>
      <c r="AN7" s="76">
        <f>(IF(Painel!$C$10="Base",AN40,(IF(Painel!$C$10="Otimista",Receitas!AN51,(IF(Painel!$C$10="Pessimista",Receitas!AN62,IF(Painel!$C$10="-",Receitas!AN40,0)))))))</f>
        <v>0</v>
      </c>
    </row>
    <row r="8" spans="1:40" ht="12" customHeight="1">
      <c r="A8" s="64" t="s">
        <v>155</v>
      </c>
      <c r="B8" s="78" t="s">
        <v>16</v>
      </c>
      <c r="C8" s="78"/>
      <c r="D8" s="577"/>
      <c r="E8" s="78">
        <f>E7</f>
        <v>5630.9464927720746</v>
      </c>
      <c r="F8" s="78">
        <f>F7</f>
        <v>9913.6889723625009</v>
      </c>
      <c r="G8" s="78">
        <f t="shared" ref="G8:AN8" si="0">G7</f>
        <v>13250.627427234751</v>
      </c>
      <c r="H8" s="78">
        <f t="shared" si="0"/>
        <v>13283.112967897392</v>
      </c>
      <c r="I8" s="78">
        <f t="shared" si="0"/>
        <v>13315.708959398286</v>
      </c>
      <c r="J8" s="78">
        <f t="shared" si="0"/>
        <v>13348.415777270284</v>
      </c>
      <c r="K8" s="78">
        <f t="shared" si="0"/>
        <v>13381.233798323046</v>
      </c>
      <c r="L8" s="78">
        <f t="shared" si="0"/>
        <v>13414.163400647387</v>
      </c>
      <c r="M8" s="78">
        <f t="shared" si="0"/>
        <v>13447.20496361963</v>
      </c>
      <c r="N8" s="78">
        <f t="shared" si="0"/>
        <v>13480.358867905978</v>
      </c>
      <c r="O8" s="78">
        <f t="shared" si="0"/>
        <v>13513.625495466902</v>
      </c>
      <c r="P8" s="78">
        <f t="shared" si="0"/>
        <v>13547.005229561531</v>
      </c>
      <c r="Q8" s="78">
        <f t="shared" si="0"/>
        <v>13580.498454752083</v>
      </c>
      <c r="R8" s="78">
        <f t="shared" si="0"/>
        <v>13614.105556908286</v>
      </c>
      <c r="S8" s="78">
        <f t="shared" si="0"/>
        <v>13647.826923211813</v>
      </c>
      <c r="T8" s="78">
        <f t="shared" si="0"/>
        <v>13681.662942160776</v>
      </c>
      <c r="U8" s="78">
        <f t="shared" si="0"/>
        <v>13715.614003574166</v>
      </c>
      <c r="V8" s="78">
        <f t="shared" si="0"/>
        <v>13749.680498596363</v>
      </c>
      <c r="W8" s="78">
        <f t="shared" si="0"/>
        <v>13783.862819701633</v>
      </c>
      <c r="X8" s="78">
        <f t="shared" si="0"/>
        <v>13818.161360698658</v>
      </c>
      <c r="Y8" s="78">
        <f t="shared" si="0"/>
        <v>13852.576516735078</v>
      </c>
      <c r="Z8" s="78">
        <f t="shared" si="0"/>
        <v>13887.10868430202</v>
      </c>
      <c r="AA8" s="78">
        <f t="shared" si="0"/>
        <v>13921.758261238689</v>
      </c>
      <c r="AB8" s="78">
        <f t="shared" si="0"/>
        <v>13956.525646736944</v>
      </c>
      <c r="AC8" s="78">
        <f t="shared" si="0"/>
        <v>13991.41124134589</v>
      </c>
      <c r="AD8" s="78">
        <f t="shared" si="0"/>
        <v>14026.415446976511</v>
      </c>
      <c r="AE8" s="78">
        <f t="shared" si="0"/>
        <v>14061.538666906272</v>
      </c>
      <c r="AF8" s="78">
        <f t="shared" si="0"/>
        <v>14096.781305783796</v>
      </c>
      <c r="AG8" s="78">
        <f t="shared" si="0"/>
        <v>14132.1437696335</v>
      </c>
      <c r="AH8" s="78">
        <f t="shared" si="0"/>
        <v>14167.6264658603</v>
      </c>
      <c r="AI8" s="78">
        <f t="shared" si="0"/>
        <v>0</v>
      </c>
      <c r="AJ8" s="78">
        <f t="shared" si="0"/>
        <v>0</v>
      </c>
      <c r="AK8" s="78">
        <f t="shared" si="0"/>
        <v>0</v>
      </c>
      <c r="AL8" s="78">
        <f t="shared" si="0"/>
        <v>0</v>
      </c>
      <c r="AM8" s="78">
        <f t="shared" si="0"/>
        <v>0</v>
      </c>
      <c r="AN8" s="78">
        <f t="shared" si="0"/>
        <v>0</v>
      </c>
    </row>
    <row r="9" spans="1:40" ht="12" customHeight="1">
      <c r="A9" s="60"/>
      <c r="B9" s="73"/>
      <c r="C9" s="73"/>
      <c r="D9" s="575"/>
      <c r="E9" s="73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</row>
    <row r="10" spans="1:40" ht="12" customHeight="1">
      <c r="A10" s="68" t="s">
        <v>156</v>
      </c>
      <c r="B10" s="73" t="s">
        <v>16</v>
      </c>
      <c r="C10" s="73"/>
      <c r="D10" s="578"/>
      <c r="E10" s="79">
        <f t="shared" ref="E10:AN10" si="1">E25</f>
        <v>0</v>
      </c>
      <c r="F10" s="79">
        <f t="shared" si="1"/>
        <v>0</v>
      </c>
      <c r="G10" s="79">
        <f t="shared" si="1"/>
        <v>0</v>
      </c>
      <c r="H10" s="79">
        <f t="shared" si="1"/>
        <v>0</v>
      </c>
      <c r="I10" s="79">
        <f t="shared" si="1"/>
        <v>0</v>
      </c>
      <c r="J10" s="79">
        <f t="shared" si="1"/>
        <v>0</v>
      </c>
      <c r="K10" s="79">
        <f t="shared" si="1"/>
        <v>0</v>
      </c>
      <c r="L10" s="79">
        <f t="shared" si="1"/>
        <v>0</v>
      </c>
      <c r="M10" s="79">
        <f t="shared" si="1"/>
        <v>0</v>
      </c>
      <c r="N10" s="79">
        <f t="shared" si="1"/>
        <v>0</v>
      </c>
      <c r="O10" s="79">
        <f t="shared" si="1"/>
        <v>0</v>
      </c>
      <c r="P10" s="79">
        <f t="shared" si="1"/>
        <v>0</v>
      </c>
      <c r="Q10" s="79">
        <f t="shared" si="1"/>
        <v>0</v>
      </c>
      <c r="R10" s="79">
        <f t="shared" si="1"/>
        <v>0</v>
      </c>
      <c r="S10" s="79">
        <f t="shared" si="1"/>
        <v>0</v>
      </c>
      <c r="T10" s="79">
        <f t="shared" si="1"/>
        <v>0</v>
      </c>
      <c r="U10" s="79">
        <f t="shared" si="1"/>
        <v>0</v>
      </c>
      <c r="V10" s="79">
        <f t="shared" si="1"/>
        <v>0</v>
      </c>
      <c r="W10" s="79">
        <f t="shared" si="1"/>
        <v>0</v>
      </c>
      <c r="X10" s="79">
        <f t="shared" si="1"/>
        <v>0</v>
      </c>
      <c r="Y10" s="79">
        <f t="shared" si="1"/>
        <v>0</v>
      </c>
      <c r="Z10" s="79">
        <f t="shared" si="1"/>
        <v>0</v>
      </c>
      <c r="AA10" s="79">
        <f t="shared" si="1"/>
        <v>0</v>
      </c>
      <c r="AB10" s="79">
        <f t="shared" si="1"/>
        <v>0</v>
      </c>
      <c r="AC10" s="79">
        <f t="shared" si="1"/>
        <v>0</v>
      </c>
      <c r="AD10" s="79">
        <f t="shared" si="1"/>
        <v>0</v>
      </c>
      <c r="AE10" s="79">
        <f t="shared" si="1"/>
        <v>0</v>
      </c>
      <c r="AF10" s="79">
        <f t="shared" si="1"/>
        <v>0</v>
      </c>
      <c r="AG10" s="79">
        <f t="shared" si="1"/>
        <v>0</v>
      </c>
      <c r="AH10" s="79">
        <f t="shared" si="1"/>
        <v>0</v>
      </c>
      <c r="AI10" s="79">
        <f t="shared" si="1"/>
        <v>0</v>
      </c>
      <c r="AJ10" s="79">
        <f t="shared" si="1"/>
        <v>0</v>
      </c>
      <c r="AK10" s="79">
        <f t="shared" si="1"/>
        <v>0</v>
      </c>
      <c r="AL10" s="79">
        <f t="shared" si="1"/>
        <v>0</v>
      </c>
      <c r="AM10" s="79">
        <f t="shared" si="1"/>
        <v>0</v>
      </c>
      <c r="AN10" s="79">
        <f t="shared" si="1"/>
        <v>0</v>
      </c>
    </row>
    <row r="11" spans="1:40" ht="12" customHeight="1">
      <c r="A11" s="60"/>
      <c r="B11" s="73"/>
      <c r="C11" s="73"/>
      <c r="D11" s="575"/>
      <c r="E11" s="73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</row>
    <row r="12" spans="1:40" ht="12" customHeight="1">
      <c r="A12" s="60"/>
      <c r="B12" s="60"/>
      <c r="C12" s="60"/>
      <c r="D12" s="575"/>
      <c r="E12" s="73"/>
      <c r="F12" s="80"/>
      <c r="G12" s="8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</row>
    <row r="13" spans="1:40" ht="12" customHeight="1">
      <c r="A13" s="74" t="s">
        <v>157</v>
      </c>
      <c r="B13" s="73"/>
      <c r="C13" s="73"/>
      <c r="D13" s="575"/>
      <c r="E13" s="73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</row>
    <row r="14" spans="1:40" ht="12" customHeight="1">
      <c r="A14" s="64" t="s">
        <v>158</v>
      </c>
      <c r="B14" s="78" t="s">
        <v>16</v>
      </c>
      <c r="C14" s="78"/>
      <c r="D14" s="577"/>
      <c r="E14" s="78">
        <f>IF(E2&lt;=Painel!$C$19,Painel!$C$20*Painel!$C$17,0)</f>
        <v>2777.8595537284523</v>
      </c>
      <c r="F14" s="78">
        <f>IF(F2&lt;=Painel!$C$19,Painel!$C$21*Painel!$C$17,0)</f>
        <v>2777.8595537284523</v>
      </c>
      <c r="G14" s="78">
        <f>IF(G2&lt;=Painel!$C$19,Painel!$C$20*Painel!$C$17,0)</f>
        <v>0</v>
      </c>
      <c r="H14" s="78">
        <f>IF(H2&lt;=Painel!$C$19,Painel!$C$20*Painel!$C$17,0)</f>
        <v>0</v>
      </c>
      <c r="I14" s="78">
        <f>IF(I2&lt;=Painel!$C$19,Painel!$C$20*Painel!$C$17,0)</f>
        <v>0</v>
      </c>
      <c r="J14" s="78">
        <f>IF(J2&lt;=Painel!$C$19,Painel!$C$20*Painel!$C$17,0)</f>
        <v>0</v>
      </c>
      <c r="K14" s="78">
        <f>IF(K2&lt;=Painel!$C$19,Painel!$C$20*Painel!$C$17,0)</f>
        <v>0</v>
      </c>
      <c r="L14" s="78">
        <f>IF(L2&lt;=Painel!$C$19,Painel!$C$20*Painel!$C$17,0)</f>
        <v>0</v>
      </c>
      <c r="M14" s="78">
        <f>IF(M2&lt;=Painel!$C$19,Painel!$C$20*Painel!$C$17,0)</f>
        <v>0</v>
      </c>
      <c r="N14" s="78">
        <f>IF(N2&lt;=Painel!$C$19,Painel!$C$20*Painel!$C$17,0)</f>
        <v>0</v>
      </c>
      <c r="O14" s="78">
        <f>IF(O2&lt;=Painel!$C$19,Painel!$C$20*Painel!$C$17,0)</f>
        <v>0</v>
      </c>
      <c r="P14" s="78">
        <f>IF(P2&lt;=Painel!$C$19,Painel!$C$20*Painel!$C$17,0)</f>
        <v>0</v>
      </c>
      <c r="Q14" s="78">
        <f>IF(Q2&lt;=Painel!$C$19,Painel!$C$20*Painel!$C$17,0)</f>
        <v>0</v>
      </c>
      <c r="R14" s="78">
        <f>IF(R2&lt;=Painel!$C$19,Painel!$C$20*Painel!$C$17,0)</f>
        <v>0</v>
      </c>
      <c r="S14" s="78">
        <f>IF(S2&lt;=Painel!$C$19,Painel!$C$20*Painel!$C$17,0)</f>
        <v>0</v>
      </c>
      <c r="T14" s="78">
        <f>IF(T2&lt;=Painel!$C$19,Painel!$C$20*Painel!$C$17,0)</f>
        <v>0</v>
      </c>
      <c r="U14" s="78">
        <f>IF(U2&lt;=Painel!$C$19,Painel!$C$20*Painel!$C$17,0)</f>
        <v>0</v>
      </c>
      <c r="V14" s="78">
        <f>IF(V2&lt;=Painel!$C$19,Painel!$C$20*Painel!$C$17,0)</f>
        <v>0</v>
      </c>
      <c r="W14" s="78">
        <f>IF(W2&lt;=Painel!$C$19,Painel!$C$20*Painel!$C$17,0)</f>
        <v>0</v>
      </c>
      <c r="X14" s="78">
        <f>IF(X2&lt;=Painel!$C$19,Painel!$C$20*Painel!$C$17,0)</f>
        <v>0</v>
      </c>
      <c r="Y14" s="78">
        <f>IF(Y2&lt;=Painel!$C$19,Painel!$C$20*Painel!$C$17,0)</f>
        <v>0</v>
      </c>
      <c r="Z14" s="78">
        <f>IF(Z2&lt;=Painel!$C$19,Painel!$C$20*Painel!$C$17,0)</f>
        <v>0</v>
      </c>
      <c r="AA14" s="78">
        <f>IF(AA2&lt;=Painel!$C$19,Painel!$C$20*Painel!$C$17,0)</f>
        <v>0</v>
      </c>
      <c r="AB14" s="78">
        <f>IF(AB2&lt;=Painel!$C$19,Painel!$C$20*Painel!$C$17,0)</f>
        <v>0</v>
      </c>
      <c r="AC14" s="78">
        <f>IF(AC2&lt;=Painel!$C$19,Painel!$C$20*Painel!$C$17,0)</f>
        <v>0</v>
      </c>
      <c r="AD14" s="78">
        <f>IF(AD2&lt;=Painel!$C$19,Painel!$C$20*Painel!$C$17,0)</f>
        <v>0</v>
      </c>
      <c r="AE14" s="78">
        <f>IF(AE2&lt;=Painel!$C$19,Painel!$C$20*Painel!$C$17,0)</f>
        <v>0</v>
      </c>
      <c r="AF14" s="78">
        <f>IF(AF2&lt;=Painel!$C$19,Painel!$C$20*Painel!$C$17,0)</f>
        <v>0</v>
      </c>
      <c r="AG14" s="78">
        <f>IF(AG2&lt;=Painel!$C$19,Painel!$C$20*Painel!$C$17,0)</f>
        <v>0</v>
      </c>
      <c r="AH14" s="78">
        <f>IF(AH2&lt;=Painel!$C$19,Painel!$C$20*Painel!$C$17,0)</f>
        <v>0</v>
      </c>
      <c r="AI14" s="78">
        <f>IF(AI2&lt;=Painel!$C$19,Painel!$C$20*Painel!$C$17,0)</f>
        <v>0</v>
      </c>
      <c r="AJ14" s="78">
        <f>IF(AJ2&lt;=Painel!$C$19,Painel!$C$20*Painel!$C$17,0)</f>
        <v>0</v>
      </c>
      <c r="AK14" s="78">
        <f>IF(AK2&lt;=Painel!$C$19,Painel!$C$20*Painel!$C$17,0)</f>
        <v>0</v>
      </c>
      <c r="AL14" s="78">
        <f>IF(AL2&lt;=Painel!$C$19,Painel!$C$20*Painel!$C$17,0)</f>
        <v>0</v>
      </c>
      <c r="AM14" s="78">
        <f>IF(AM2&lt;=Painel!$C$19,Painel!$C$20*Painel!$C$17,0)</f>
        <v>0</v>
      </c>
      <c r="AN14" s="78">
        <f>IF(AN2&lt;=Painel!$C$19,Painel!$C$20*Painel!$C$17,0)</f>
        <v>0</v>
      </c>
    </row>
    <row r="17" spans="1:40" s="142" customFormat="1" ht="12" customHeight="1">
      <c r="A17" s="74" t="s">
        <v>159</v>
      </c>
      <c r="B17" s="73"/>
      <c r="C17" s="73"/>
      <c r="D17" s="575"/>
      <c r="E17" s="73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</row>
    <row r="18" spans="1:40" s="142" customFormat="1" ht="12" customHeight="1">
      <c r="A18" s="63"/>
      <c r="B18" s="73"/>
      <c r="C18" s="73"/>
      <c r="D18" s="575"/>
      <c r="E18" s="73"/>
      <c r="F18" s="143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142" customFormat="1" ht="12" customHeight="1">
      <c r="A19" s="63" t="s">
        <v>160</v>
      </c>
      <c r="B19" s="72" t="s">
        <v>16</v>
      </c>
      <c r="C19" s="72"/>
      <c r="D19" s="579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5"/>
      <c r="AJ19" s="145"/>
      <c r="AK19" s="145"/>
      <c r="AL19" s="145"/>
      <c r="AM19" s="145"/>
      <c r="AN19" s="145"/>
    </row>
    <row r="20" spans="1:40" s="142" customFormat="1" ht="12" customHeight="1">
      <c r="A20" s="63" t="s">
        <v>161</v>
      </c>
      <c r="B20" s="72" t="s">
        <v>16</v>
      </c>
      <c r="C20" s="72"/>
      <c r="D20" s="579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5"/>
      <c r="AJ20" s="145"/>
      <c r="AK20" s="145"/>
      <c r="AL20" s="145"/>
      <c r="AM20" s="145"/>
      <c r="AN20" s="145"/>
    </row>
    <row r="21" spans="1:40" s="142" customFormat="1" ht="12" customHeight="1">
      <c r="A21" s="63" t="s">
        <v>162</v>
      </c>
      <c r="B21" s="72" t="s">
        <v>16</v>
      </c>
      <c r="C21" s="72"/>
      <c r="D21" s="579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5"/>
      <c r="AJ21" s="145"/>
      <c r="AK21" s="145"/>
      <c r="AL21" s="145"/>
      <c r="AM21" s="145"/>
      <c r="AN21" s="145"/>
    </row>
    <row r="22" spans="1:40" s="142" customFormat="1" ht="12" customHeight="1">
      <c r="A22" s="63"/>
      <c r="B22" s="72"/>
      <c r="C22" s="72"/>
      <c r="D22" s="579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</row>
    <row r="23" spans="1:40" s="142" customFormat="1" ht="12" customHeight="1">
      <c r="A23" s="64" t="s">
        <v>163</v>
      </c>
      <c r="B23" s="78" t="s">
        <v>16</v>
      </c>
      <c r="C23" s="78"/>
      <c r="D23" s="577"/>
      <c r="E23" s="78">
        <f t="shared" ref="E23:AN23" si="2">SUM(E19:E21)</f>
        <v>0</v>
      </c>
      <c r="F23" s="78">
        <f t="shared" si="2"/>
        <v>0</v>
      </c>
      <c r="G23" s="78">
        <f t="shared" si="2"/>
        <v>0</v>
      </c>
      <c r="H23" s="78">
        <f t="shared" si="2"/>
        <v>0</v>
      </c>
      <c r="I23" s="78">
        <f t="shared" si="2"/>
        <v>0</v>
      </c>
      <c r="J23" s="78">
        <f t="shared" si="2"/>
        <v>0</v>
      </c>
      <c r="K23" s="78">
        <f t="shared" si="2"/>
        <v>0</v>
      </c>
      <c r="L23" s="78">
        <f t="shared" si="2"/>
        <v>0</v>
      </c>
      <c r="M23" s="78">
        <f t="shared" si="2"/>
        <v>0</v>
      </c>
      <c r="N23" s="78">
        <f t="shared" si="2"/>
        <v>0</v>
      </c>
      <c r="O23" s="78">
        <f t="shared" si="2"/>
        <v>0</v>
      </c>
      <c r="P23" s="78">
        <f t="shared" si="2"/>
        <v>0</v>
      </c>
      <c r="Q23" s="78">
        <f t="shared" si="2"/>
        <v>0</v>
      </c>
      <c r="R23" s="78">
        <f t="shared" si="2"/>
        <v>0</v>
      </c>
      <c r="S23" s="78">
        <f t="shared" si="2"/>
        <v>0</v>
      </c>
      <c r="T23" s="78">
        <f t="shared" si="2"/>
        <v>0</v>
      </c>
      <c r="U23" s="78">
        <f t="shared" si="2"/>
        <v>0</v>
      </c>
      <c r="V23" s="78">
        <f t="shared" si="2"/>
        <v>0</v>
      </c>
      <c r="W23" s="78">
        <f t="shared" si="2"/>
        <v>0</v>
      </c>
      <c r="X23" s="78">
        <f t="shared" si="2"/>
        <v>0</v>
      </c>
      <c r="Y23" s="78">
        <f t="shared" si="2"/>
        <v>0</v>
      </c>
      <c r="Z23" s="78">
        <f t="shared" si="2"/>
        <v>0</v>
      </c>
      <c r="AA23" s="78">
        <f t="shared" si="2"/>
        <v>0</v>
      </c>
      <c r="AB23" s="78">
        <f t="shared" si="2"/>
        <v>0</v>
      </c>
      <c r="AC23" s="78">
        <f t="shared" si="2"/>
        <v>0</v>
      </c>
      <c r="AD23" s="78">
        <f t="shared" si="2"/>
        <v>0</v>
      </c>
      <c r="AE23" s="78">
        <f t="shared" si="2"/>
        <v>0</v>
      </c>
      <c r="AF23" s="78">
        <f t="shared" si="2"/>
        <v>0</v>
      </c>
      <c r="AG23" s="78">
        <f t="shared" si="2"/>
        <v>0</v>
      </c>
      <c r="AH23" s="78">
        <f t="shared" si="2"/>
        <v>0</v>
      </c>
      <c r="AI23" s="78">
        <f t="shared" si="2"/>
        <v>0</v>
      </c>
      <c r="AJ23" s="78">
        <f t="shared" si="2"/>
        <v>0</v>
      </c>
      <c r="AK23" s="78">
        <f t="shared" si="2"/>
        <v>0</v>
      </c>
      <c r="AL23" s="78">
        <f t="shared" si="2"/>
        <v>0</v>
      </c>
      <c r="AM23" s="78">
        <f t="shared" si="2"/>
        <v>0</v>
      </c>
      <c r="AN23" s="78">
        <f t="shared" si="2"/>
        <v>0</v>
      </c>
    </row>
    <row r="24" spans="1:40" s="142" customFormat="1" ht="12" customHeight="1">
      <c r="A24" s="63"/>
      <c r="B24" s="72"/>
      <c r="C24" s="72"/>
      <c r="D24" s="579"/>
      <c r="E24" s="72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</row>
    <row r="25" spans="1:40" s="142" customFormat="1" ht="12" customHeight="1">
      <c r="A25" s="63" t="s">
        <v>156</v>
      </c>
      <c r="B25" s="72" t="s">
        <v>16</v>
      </c>
      <c r="C25" s="72"/>
      <c r="D25" s="579"/>
      <c r="E25" s="40">
        <f>Painel!$G$21*(SUM(E19:E21))</f>
        <v>0</v>
      </c>
      <c r="F25" s="40">
        <f>Painel!$G$21*(SUM(F19:F21))</f>
        <v>0</v>
      </c>
      <c r="G25" s="40">
        <f>Painel!$G$21*(SUM(G19:G21))</f>
        <v>0</v>
      </c>
      <c r="H25" s="40">
        <f>Painel!$G$21*(SUM(H19:H21))</f>
        <v>0</v>
      </c>
      <c r="I25" s="40">
        <f>Painel!$G$21*(SUM(I19:I21))</f>
        <v>0</v>
      </c>
      <c r="J25" s="40">
        <f>Painel!$G$21*(SUM(J19:J21))</f>
        <v>0</v>
      </c>
      <c r="K25" s="40">
        <f>Painel!$G$21*(SUM(K19:K21))</f>
        <v>0</v>
      </c>
      <c r="L25" s="40">
        <f>Painel!$G$21*(SUM(L19:L21))</f>
        <v>0</v>
      </c>
      <c r="M25" s="40">
        <f>Painel!$G$21*(SUM(M19:M21))</f>
        <v>0</v>
      </c>
      <c r="N25" s="40">
        <f>Painel!$G$21*(SUM(N19:N21))</f>
        <v>0</v>
      </c>
      <c r="O25" s="40">
        <f>Painel!$G$21*(SUM(O19:O21))</f>
        <v>0</v>
      </c>
      <c r="P25" s="40">
        <f>Painel!$G$21*(SUM(P19:P21))</f>
        <v>0</v>
      </c>
      <c r="Q25" s="40">
        <f>Painel!$G$21*(SUM(Q19:Q21))</f>
        <v>0</v>
      </c>
      <c r="R25" s="40">
        <f>Painel!$G$21*(SUM(R19:R21))</f>
        <v>0</v>
      </c>
      <c r="S25" s="40">
        <f>Painel!$G$21*(SUM(S19:S21))</f>
        <v>0</v>
      </c>
      <c r="T25" s="40">
        <f>Painel!$G$21*(SUM(T19:T21))</f>
        <v>0</v>
      </c>
      <c r="U25" s="40">
        <f>Painel!$G$21*(SUM(U19:U21))</f>
        <v>0</v>
      </c>
      <c r="V25" s="40">
        <f>Painel!$G$21*(SUM(V19:V21))</f>
        <v>0</v>
      </c>
      <c r="W25" s="40">
        <f>Painel!$G$21*(SUM(W19:W21))</f>
        <v>0</v>
      </c>
      <c r="X25" s="40">
        <f>Painel!$G$21*(SUM(X19:X21))</f>
        <v>0</v>
      </c>
      <c r="Y25" s="40">
        <f>Painel!$G$21*(SUM(Y19:Y21))</f>
        <v>0</v>
      </c>
      <c r="Z25" s="40">
        <f>Painel!$G$21*(SUM(Z19:Z21))</f>
        <v>0</v>
      </c>
      <c r="AA25" s="40">
        <f>Painel!$G$21*(SUM(AA19:AA21))</f>
        <v>0</v>
      </c>
      <c r="AB25" s="40">
        <f>Painel!$G$21*(SUM(AB19:AB21))</f>
        <v>0</v>
      </c>
      <c r="AC25" s="40">
        <f>Painel!$G$21*(SUM(AC19:AC21))</f>
        <v>0</v>
      </c>
      <c r="AD25" s="40">
        <f>Painel!$G$21*(SUM(AD19:AD21))</f>
        <v>0</v>
      </c>
      <c r="AE25" s="40">
        <f>Painel!$G$21*(SUM(AE19:AE21))</f>
        <v>0</v>
      </c>
      <c r="AF25" s="40">
        <f>Painel!$G$21*(SUM(AF19:AF21))</f>
        <v>0</v>
      </c>
      <c r="AG25" s="40">
        <f>Painel!$G$21*(SUM(AG19:AG21))</f>
        <v>0</v>
      </c>
      <c r="AH25" s="40">
        <f>Painel!$G$21*(SUM(AH19:AH21))</f>
        <v>0</v>
      </c>
      <c r="AI25" s="40">
        <f>Painel!$G$21*(SUM(AI19:AI21))</f>
        <v>0</v>
      </c>
      <c r="AJ25" s="40">
        <f>Painel!$G$21*(SUM(AJ19:AJ21))</f>
        <v>0</v>
      </c>
      <c r="AK25" s="40">
        <f>Painel!$G$21*(SUM(AK19:AK21))</f>
        <v>0</v>
      </c>
      <c r="AL25" s="40">
        <f>Painel!$G$21*(SUM(AL19:AL21))</f>
        <v>0</v>
      </c>
      <c r="AM25" s="40">
        <f>Painel!$G$21*(SUM(AM19:AM21))</f>
        <v>0</v>
      </c>
      <c r="AN25" s="40">
        <f>Painel!$G$21*(SUM(AN19:AN21))</f>
        <v>0</v>
      </c>
    </row>
    <row r="26" spans="1:40" s="142" customFormat="1" ht="12" customHeight="1">
      <c r="A26" s="63" t="s">
        <v>164</v>
      </c>
      <c r="B26" s="72" t="s">
        <v>16</v>
      </c>
      <c r="C26" s="72"/>
      <c r="D26" s="579"/>
      <c r="E26" s="40">
        <f>IF(Tributos!E7="LP",Tributos!#REF!,Tributos!$B$23)*SUM(E19:E21)</f>
        <v>0</v>
      </c>
      <c r="F26" s="40">
        <f>IF(Tributos!F7="LP",Tributos!#REF!,Tributos!$B$23)*SUM(F19:F21)</f>
        <v>0</v>
      </c>
      <c r="G26" s="40">
        <f>IF(Tributos!G7="LP",Tributos!#REF!,Tributos!$B$23)*SUM(G19:G21)</f>
        <v>0</v>
      </c>
      <c r="H26" s="40">
        <f>IF(Tributos!H7="LP",Tributos!#REF!,Tributos!$B$23)*SUM(H19:H21)</f>
        <v>0</v>
      </c>
      <c r="I26" s="40">
        <f>IF(Tributos!I7="LP",Tributos!#REF!,Tributos!$B$23)*SUM(I19:I21)</f>
        <v>0</v>
      </c>
      <c r="J26" s="40">
        <f>IF(Tributos!J7="LP",Tributos!#REF!,Tributos!$B$23)*SUM(J19:J21)</f>
        <v>0</v>
      </c>
      <c r="K26" s="40">
        <f>IF(Tributos!K7="LP",Tributos!#REF!,Tributos!$B$23)*SUM(K19:K21)</f>
        <v>0</v>
      </c>
      <c r="L26" s="40">
        <f>IF(Tributos!L7="LP",Tributos!#REF!,Tributos!$B$23)*SUM(L19:L21)</f>
        <v>0</v>
      </c>
      <c r="M26" s="40">
        <f>IF(Tributos!M7="LP",Tributos!#REF!,Tributos!$B$23)*SUM(M19:M21)</f>
        <v>0</v>
      </c>
      <c r="N26" s="40">
        <f>IF(Tributos!N7="LP",Tributos!#REF!,Tributos!$B$23)*SUM(N19:N21)</f>
        <v>0</v>
      </c>
      <c r="O26" s="40">
        <f>IF(Tributos!O7="LP",Tributos!#REF!,Tributos!$B$23)*SUM(O19:O21)</f>
        <v>0</v>
      </c>
      <c r="P26" s="40">
        <f>IF(Tributos!P7="LP",Tributos!#REF!,Tributos!$B$23)*SUM(P19:P21)</f>
        <v>0</v>
      </c>
      <c r="Q26" s="40">
        <f>IF(Tributos!Q7="LP",Tributos!#REF!,Tributos!$B$23)*SUM(Q19:Q21)</f>
        <v>0</v>
      </c>
      <c r="R26" s="40">
        <f>IF(Tributos!R7="LP",Tributos!#REF!,Tributos!$B$23)*SUM(R19:R21)</f>
        <v>0</v>
      </c>
      <c r="S26" s="40">
        <f>IF(Tributos!S7="LP",Tributos!#REF!,Tributos!$B$23)*SUM(S19:S21)</f>
        <v>0</v>
      </c>
      <c r="T26" s="40">
        <f>IF(Tributos!T7="LP",Tributos!#REF!,Tributos!$B$23)*SUM(T19:T21)</f>
        <v>0</v>
      </c>
      <c r="U26" s="40">
        <f>IF(Tributos!U7="LP",Tributos!#REF!,Tributos!$B$23)*SUM(U19:U21)</f>
        <v>0</v>
      </c>
      <c r="V26" s="40">
        <f>IF(Tributos!V7="LP",Tributos!#REF!,Tributos!$B$23)*SUM(V19:V21)</f>
        <v>0</v>
      </c>
      <c r="W26" s="40">
        <f>IF(Tributos!W7="LP",Tributos!#REF!,Tributos!$B$23)*SUM(W19:W21)</f>
        <v>0</v>
      </c>
      <c r="X26" s="40">
        <f>IF(Tributos!X7="LP",Tributos!#REF!,Tributos!$B$23)*SUM(X19:X21)</f>
        <v>0</v>
      </c>
      <c r="Y26" s="40">
        <f>IF(Tributos!Y7="LP",Tributos!#REF!,Tributos!$B$23)*SUM(Y19:Y21)</f>
        <v>0</v>
      </c>
      <c r="Z26" s="40">
        <f>IF(Tributos!Z7="LP",Tributos!#REF!,Tributos!$B$23)*SUM(Z19:Z21)</f>
        <v>0</v>
      </c>
      <c r="AA26" s="40">
        <f>IF(Tributos!AA7="LP",Tributos!#REF!,Tributos!$B$23)*SUM(AA19:AA21)</f>
        <v>0</v>
      </c>
      <c r="AB26" s="40">
        <f>IF(Tributos!AB7="LP",Tributos!#REF!,Tributos!$B$23)*SUM(AB19:AB21)</f>
        <v>0</v>
      </c>
      <c r="AC26" s="40">
        <f>IF(Tributos!AC7="LP",Tributos!#REF!,Tributos!$B$23)*SUM(AC19:AC21)</f>
        <v>0</v>
      </c>
      <c r="AD26" s="40">
        <f>IF(Tributos!AD7="LP",Tributos!#REF!,Tributos!$B$23)*SUM(AD19:AD21)</f>
        <v>0</v>
      </c>
      <c r="AE26" s="40">
        <f>IF(Tributos!AE7="LP",Tributos!#REF!,Tributos!$B$23)*SUM(AE19:AE21)</f>
        <v>0</v>
      </c>
      <c r="AF26" s="40">
        <f>IF(Tributos!AF7="LP",Tributos!#REF!,Tributos!$B$23)*SUM(AF19:AF21)</f>
        <v>0</v>
      </c>
      <c r="AG26" s="40">
        <f>IF(Tributos!AG7="LP",Tributos!#REF!,Tributos!$B$23)*SUM(AG19:AG21)</f>
        <v>0</v>
      </c>
      <c r="AH26" s="40">
        <f>IF(Tributos!AH7="LP",Tributos!#REF!,Tributos!$B$23)*SUM(AH19:AH21)</f>
        <v>0</v>
      </c>
      <c r="AI26" s="40">
        <f>IF(Tributos!AI7="LP",Tributos!#REF!,Tributos!$B$23)*SUM(AI19:AI21)</f>
        <v>0</v>
      </c>
      <c r="AJ26" s="40">
        <f>IF(Tributos!AJ7="LP",Tributos!#REF!,Tributos!$B$23)*SUM(AJ19:AJ21)</f>
        <v>0</v>
      </c>
      <c r="AK26" s="40">
        <f>IF(Tributos!AK7="LP",Tributos!#REF!,Tributos!$B$23)*SUM(AK19:AK21)</f>
        <v>0</v>
      </c>
      <c r="AL26" s="40">
        <f>IF(Tributos!AL7="LP",Tributos!#REF!,Tributos!$B$23)*SUM(AL19:AL21)</f>
        <v>0</v>
      </c>
      <c r="AM26" s="40">
        <f>IF(Tributos!AM7="LP",Tributos!#REF!,Tributos!$B$23)*SUM(AM19:AM21)</f>
        <v>0</v>
      </c>
      <c r="AN26" s="40">
        <f>IF(Tributos!AN7="LP",Tributos!#REF!,Tributos!$B$23)*SUM(AN19:AN21)</f>
        <v>0</v>
      </c>
    </row>
    <row r="27" spans="1:40" s="142" customFormat="1" ht="12" customHeight="1">
      <c r="A27" s="63" t="s">
        <v>165</v>
      </c>
      <c r="B27" s="72" t="s">
        <v>16</v>
      </c>
      <c r="C27" s="72"/>
      <c r="D27" s="579"/>
      <c r="E27" s="40">
        <f>Painel!$G$20*(SUM(E19:E21)-E25-E26)</f>
        <v>0</v>
      </c>
      <c r="F27" s="40">
        <f>Painel!$G$20*(SUM(F19:F21)-F25-F26)</f>
        <v>0</v>
      </c>
      <c r="G27" s="40">
        <f>Painel!$G$20*(SUM(G19:G21)-G25-G26)</f>
        <v>0</v>
      </c>
      <c r="H27" s="40">
        <f>Painel!$G$20*(SUM(H19:H21)-H25-H26)</f>
        <v>0</v>
      </c>
      <c r="I27" s="40">
        <f>Painel!$G$20*(SUM(I19:I21)-I25-I26)</f>
        <v>0</v>
      </c>
      <c r="J27" s="40">
        <f>Painel!$G$20*(SUM(J19:J21)-J25-J26)</f>
        <v>0</v>
      </c>
      <c r="K27" s="40">
        <f>Painel!$G$20*(SUM(K19:K21)-K25-K26)</f>
        <v>0</v>
      </c>
      <c r="L27" s="40">
        <f>Painel!$G$20*(SUM(L19:L21)-L25-L26)</f>
        <v>0</v>
      </c>
      <c r="M27" s="40">
        <f>Painel!$G$20*(SUM(M19:M21)-M25-M26)</f>
        <v>0</v>
      </c>
      <c r="N27" s="40">
        <f>Painel!$G$20*(SUM(N19:N21)-N25-N26)</f>
        <v>0</v>
      </c>
      <c r="O27" s="40">
        <f>Painel!$G$20*(SUM(O19:O21)-O25-O26)</f>
        <v>0</v>
      </c>
      <c r="P27" s="40">
        <f>Painel!$G$20*(SUM(P19:P21)-P25-P26)</f>
        <v>0</v>
      </c>
      <c r="Q27" s="40">
        <f>Painel!$G$20*(SUM(Q19:Q21)-Q25-Q26)</f>
        <v>0</v>
      </c>
      <c r="R27" s="40">
        <f>Painel!$G$20*(SUM(R19:R21)-R25-R26)</f>
        <v>0</v>
      </c>
      <c r="S27" s="40">
        <f>Painel!$G$20*(SUM(S19:S21)-S25-S26)</f>
        <v>0</v>
      </c>
      <c r="T27" s="40">
        <f>Painel!$G$20*(SUM(T19:T21)-T25-T26)</f>
        <v>0</v>
      </c>
      <c r="U27" s="40">
        <f>Painel!$G$20*(SUM(U19:U21)-U25-U26)</f>
        <v>0</v>
      </c>
      <c r="V27" s="40">
        <f>Painel!$G$20*(SUM(V19:V21)-V25-V26)</f>
        <v>0</v>
      </c>
      <c r="W27" s="40">
        <f>Painel!$G$20*(SUM(W19:W21)-W25-W26)</f>
        <v>0</v>
      </c>
      <c r="X27" s="40">
        <f>Painel!$G$20*(SUM(X19:X21)-X25-X26)</f>
        <v>0</v>
      </c>
      <c r="Y27" s="40">
        <f>Painel!$G$20*(SUM(Y19:Y21)-Y25-Y26)</f>
        <v>0</v>
      </c>
      <c r="Z27" s="40">
        <f>Painel!$G$20*(SUM(Z19:Z21)-Z25-Z26)</f>
        <v>0</v>
      </c>
      <c r="AA27" s="40">
        <f>Painel!$G$20*(SUM(AA19:AA21)-AA25-AA26)</f>
        <v>0</v>
      </c>
      <c r="AB27" s="40">
        <f>Painel!$G$20*(SUM(AB19:AB21)-AB25-AB26)</f>
        <v>0</v>
      </c>
      <c r="AC27" s="40">
        <f>Painel!$G$20*(SUM(AC19:AC21)-AC25-AC26)</f>
        <v>0</v>
      </c>
      <c r="AD27" s="40">
        <f>Painel!$G$20*(SUM(AD19:AD21)-AD25-AD26)</f>
        <v>0</v>
      </c>
      <c r="AE27" s="40">
        <f>Painel!$G$20*(SUM(AE19:AE21)-AE25-AE26)</f>
        <v>0</v>
      </c>
      <c r="AF27" s="40">
        <f>Painel!$G$20*(SUM(AF19:AF21)-AF25-AF26)</f>
        <v>0</v>
      </c>
      <c r="AG27" s="40">
        <f>Painel!$G$20*(SUM(AG19:AG21)-AG25-AG26)</f>
        <v>0</v>
      </c>
      <c r="AH27" s="40">
        <f>Painel!$G$20*(SUM(AH19:AH21)-AH25-AH26)</f>
        <v>0</v>
      </c>
      <c r="AI27" s="40">
        <f>Painel!$G$20*(SUM(AI19:AI21)-AI25-AI26)</f>
        <v>0</v>
      </c>
      <c r="AJ27" s="40">
        <f>Painel!$G$20*(SUM(AJ19:AJ21)-AJ25-AJ26)</f>
        <v>0</v>
      </c>
      <c r="AK27" s="40">
        <f>Painel!$G$20*(SUM(AK19:AK21)-AK25-AK26)</f>
        <v>0</v>
      </c>
      <c r="AL27" s="40">
        <f>Painel!$G$20*(SUM(AL19:AL21)-AL25-AL26)</f>
        <v>0</v>
      </c>
      <c r="AM27" s="40">
        <f>Painel!$G$20*(SUM(AM19:AM21)-AM25-AM26)</f>
        <v>0</v>
      </c>
      <c r="AN27" s="40">
        <f>Painel!$G$20*(SUM(AN19:AN21)-AN25-AN26)</f>
        <v>0</v>
      </c>
    </row>
    <row r="28" spans="1:40" ht="12" customHeight="1">
      <c r="A28" s="63"/>
      <c r="B28" s="72"/>
      <c r="C28" s="72"/>
      <c r="D28" s="579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</row>
    <row r="29" spans="1:40" ht="12" customHeight="1">
      <c r="A29" s="60"/>
      <c r="B29" s="60"/>
      <c r="C29" s="60"/>
      <c r="D29" s="601"/>
      <c r="E29" s="73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</row>
    <row r="30" spans="1:40" ht="12" customHeight="1">
      <c r="A30" s="60"/>
      <c r="B30" s="60"/>
      <c r="C30" s="72" t="s">
        <v>166</v>
      </c>
      <c r="D30" s="601"/>
      <c r="E30" s="73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</row>
    <row r="31" spans="1:40" ht="12" customHeight="1">
      <c r="A31" s="74" t="s">
        <v>167</v>
      </c>
      <c r="B31" s="72"/>
      <c r="C31" s="60"/>
      <c r="D31" s="575"/>
      <c r="E31" s="73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299"/>
      <c r="AJ31" s="299"/>
      <c r="AK31" s="299"/>
      <c r="AL31" s="299"/>
      <c r="AM31" s="299"/>
      <c r="AN31" s="299"/>
    </row>
    <row r="32" spans="1:40" ht="12" customHeight="1">
      <c r="A32" s="63" t="s">
        <v>26</v>
      </c>
      <c r="B32" s="72"/>
      <c r="C32" s="76">
        <f>SUM(E32:AJ32)</f>
        <v>1524.0381302358617</v>
      </c>
      <c r="D32" s="580">
        <f>C32/$C$40</f>
        <v>3.8176218537574265E-3</v>
      </c>
      <c r="E32" s="76">
        <f>IF(Painel!$C$5&gt;=E2,((MatrizdeUsos!$B$17 * MatrizdeUsos!$C$17) * ('Estudo de Demanda'!H12+'Estudo de Demanda'!H13))/1000*E3,0)</f>
        <v>21.328637916881991</v>
      </c>
      <c r="F32" s="76">
        <f>IF(Painel!$C$5&gt;=F2,((MatrizdeUsos!$B$17 * MatrizdeUsos!$C$17) * ('Estudo de Demanda'!I12+'Estudo de Demanda'!I13))/1000*F3,0)</f>
        <v>37.57053385799955</v>
      </c>
      <c r="G32" s="76">
        <f>IF(Painel!$C$5&gt;=G2,((MatrizdeUsos!$B$17 * MatrizdeUsos!$C$17) * ('Estudo de Demanda'!J12+'Estudo de Demanda'!J13))/1000*G3,0)</f>
        <v>50.243329267488981</v>
      </c>
      <c r="H32" s="76">
        <f>IF(Painel!$C$5&gt;=H2,((MatrizdeUsos!$B$17 * MatrizdeUsos!$C$17) * ('Estudo de Demanda'!K12+'Estudo de Demanda'!K13))/1000*H3,0)</f>
        <v>50.393120956998452</v>
      </c>
      <c r="I32" s="76">
        <f>IF(Painel!$C$5&gt;=I2,((MatrizdeUsos!$B$17 * MatrizdeUsos!$C$17) * ('Estudo de Demanda'!L12+'Estudo de Demanda'!L13))/1000*I3,0)</f>
        <v>50.543421938252258</v>
      </c>
      <c r="J32" s="76">
        <f>IF(Painel!$C$5&gt;=J2,((MatrizdeUsos!$B$17 * MatrizdeUsos!$C$17) * ('Estudo de Demanda'!M12+'Estudo de Demanda'!M13))/1000*J3,0)</f>
        <v>50.694233942842317</v>
      </c>
      <c r="K32" s="76">
        <f>IF(Painel!$C$5&gt;=K2,((MatrizdeUsos!$B$17 * MatrizdeUsos!$C$17) * ('Estudo de Demanda'!N12+'Estudo de Demanda'!N13))/1000*K3,0)</f>
        <v>50.845558708247978</v>
      </c>
      <c r="L32" s="76">
        <f>IF(Painel!$C$5&gt;=L2,((MatrizdeUsos!$B$17 * MatrizdeUsos!$C$17) * ('Estudo de Demanda'!O12+'Estudo de Demanda'!O13))/1000*L3,0)</f>
        <v>50.997397977856032</v>
      </c>
      <c r="M32" s="76">
        <f>IF(Painel!$C$5&gt;=M2,((MatrizdeUsos!$B$17 * MatrizdeUsos!$C$17) * ('Estudo de Demanda'!P12+'Estudo de Demanda'!P13))/1000*M3,0)</f>
        <v>51.149753500980744</v>
      </c>
      <c r="N32" s="76">
        <f>IF(Painel!$C$5&gt;=N2,((MatrizdeUsos!$B$17 * MatrizdeUsos!$C$17) * ('Estudo de Demanda'!Q12+'Estudo de Demanda'!Q13))/1000*N3,0)</f>
        <v>51.302627032884075</v>
      </c>
      <c r="O32" s="76">
        <f>IF(Painel!$C$5&gt;=O2,((MatrizdeUsos!$B$17 * MatrizdeUsos!$C$17) * ('Estudo de Demanda'!R12+'Estudo de Demanda'!R13))/1000*O3,0)</f>
        <v>51.456020334795888</v>
      </c>
      <c r="P32" s="76">
        <f>IF(Painel!$C$5&gt;=P2,((MatrizdeUsos!$B$17 * MatrizdeUsos!$C$17) * ('Estudo de Demanda'!S12+'Estudo de Demanda'!S13))/1000*P3,0)</f>
        <v>51.609935173934197</v>
      </c>
      <c r="Q32" s="76">
        <f>IF(Painel!$C$5&gt;=Q2,((MatrizdeUsos!$B$17 * MatrizdeUsos!$C$17) * ('Estudo de Demanda'!T12+'Estudo de Demanda'!T13))/1000*Q3,0)</f>
        <v>51.764373323525575</v>
      </c>
      <c r="R32" s="76">
        <f>IF(Painel!$C$5&gt;=R2,((MatrizdeUsos!$B$17 * MatrizdeUsos!$C$17) * ('Estudo de Demanda'!U12+'Estudo de Demanda'!U13))/1000*R3,0)</f>
        <v>51.919336562825571</v>
      </c>
      <c r="S32" s="76">
        <f>IF(Painel!$C$5&gt;=S2,((MatrizdeUsos!$B$17 * MatrizdeUsos!$C$17) * ('Estudo de Demanda'!V12+'Estudo de Demanda'!V13))/1000*S3,0)</f>
        <v>52.074826677139178</v>
      </c>
      <c r="T32" s="76">
        <f>IF(Painel!$C$5&gt;=T2,((MatrizdeUsos!$B$17 * MatrizdeUsos!$C$17) * ('Estudo de Demanda'!W12+'Estudo de Demanda'!W13))/1000*T3,0)</f>
        <v>52.230845457841454</v>
      </c>
      <c r="U32" s="76">
        <f>IF(Painel!$C$5&gt;=U2,((MatrizdeUsos!$B$17 * MatrizdeUsos!$C$17) * ('Estudo de Demanda'!X12+'Estudo de Demanda'!X13))/1000*U3,0)</f>
        <v>52.387394702398119</v>
      </c>
      <c r="V32" s="76">
        <f>IF(Painel!$C$5&gt;=V2,((MatrizdeUsos!$B$17 * MatrizdeUsos!$C$17) * ('Estudo de Demanda'!Y12+'Estudo de Demanda'!Y13))/1000*V3,0)</f>
        <v>52.544476214386279</v>
      </c>
      <c r="W32" s="76">
        <f>IF(Painel!$C$5&gt;=W2,((MatrizdeUsos!$B$17 * MatrizdeUsos!$C$17) * ('Estudo de Demanda'!Z12+'Estudo de Demanda'!Z13))/1000*W3,0)</f>
        <v>52.702091803515202</v>
      </c>
      <c r="X32" s="76">
        <f>IF(Painel!$C$5&gt;=X2,((MatrizdeUsos!$B$17 * MatrizdeUsos!$C$17) * ('Estudo de Demanda'!AA12+'Estudo de Demanda'!AA13))/1000*X3,0)</f>
        <v>52.860243285647144</v>
      </c>
      <c r="Y32" s="76">
        <f>IF(Painel!$C$5&gt;=Y2,((MatrizdeUsos!$B$17 * MatrizdeUsos!$C$17) * ('Estudo de Demanda'!AB12+'Estudo de Demanda'!AB13))/1000*Y3,0)</f>
        <v>53.018932482818357</v>
      </c>
      <c r="Z32" s="76">
        <f>IF(Painel!$C$5&gt;=Z2,((MatrizdeUsos!$B$17 * MatrizdeUsos!$C$17) * ('Estudo de Demanda'!AC12+'Estudo de Demanda'!AC13))/1000*Z3,0)</f>
        <v>53.178161223259941</v>
      </c>
      <c r="AA32" s="76">
        <f>IF(Painel!$C$5&gt;=AA2,((MatrizdeUsos!$B$17 * MatrizdeUsos!$C$17) * ('Estudo de Demanda'!AD12+'Estudo de Demanda'!AD13))/1000*AA3,0)</f>
        <v>53.337931341419022</v>
      </c>
      <c r="AB32" s="76">
        <f>IF(Painel!$C$5&gt;=AB2,((MatrizdeUsos!$B$17 * MatrizdeUsos!$C$17) * ('Estudo de Demanda'!AE12+'Estudo de Demanda'!AE13))/1000*AB3,0)</f>
        <v>53.498244677979848</v>
      </c>
      <c r="AC32" s="76">
        <f>IF(Painel!$C$5&gt;=AC2,((MatrizdeUsos!$B$17 * MatrizdeUsos!$C$17) * ('Estudo de Demanda'!AF12+'Estudo de Demanda'!AF13))/1000*AC3,0)</f>
        <v>53.659103079884986</v>
      </c>
      <c r="AD32" s="76">
        <f>IF(Painel!$C$5&gt;=AD2,((MatrizdeUsos!$B$17 * MatrizdeUsos!$C$17) * ('Estudo de Demanda'!AG12+'Estudo de Demanda'!AG13))/1000*AD3,0)</f>
        <v>53.820508400356601</v>
      </c>
      <c r="AE32" s="76">
        <f>IF(Painel!$C$5&gt;=AE2,((MatrizdeUsos!$B$17 * MatrizdeUsos!$C$17) * ('Estudo de Demanda'!AH12+'Estudo de Demanda'!AH13))/1000*AE3,0)</f>
        <v>53.982462498917812</v>
      </c>
      <c r="AF32" s="76">
        <f>IF(Painel!$C$5&gt;=AF2,((MatrizdeUsos!$B$17 * MatrizdeUsos!$C$17) * ('Estudo de Demanda'!AI12+'Estudo de Demanda'!AI13))/1000*AF3,0)</f>
        <v>54.144967241414136</v>
      </c>
      <c r="AG32" s="76">
        <f>IF(Painel!$C$5&gt;=AG2,((MatrizdeUsos!$B$17 * MatrizdeUsos!$C$17) * ('Estudo de Demanda'!AJ12+'Estudo de Demanda'!AJ13))/1000*AG3,0)</f>
        <v>54.308024500034939</v>
      </c>
      <c r="AH32" s="76">
        <f>IF(Painel!$C$5&gt;=AH2,((MatrizdeUsos!$B$17 * MatrizdeUsos!$C$17) * ('Estudo de Demanda'!AK12+'Estudo de Demanda'!AK13))/1000*AH3,0)</f>
        <v>54.471636153335069</v>
      </c>
      <c r="AI32" s="299">
        <f>IF(Painel!$C$5&gt;=AI$2,AH32,0)</f>
        <v>0</v>
      </c>
      <c r="AJ32" s="299">
        <f>IF(Painel!$C$5&gt;=AJ$2,AI32,0)</f>
        <v>0</v>
      </c>
      <c r="AK32" s="299">
        <f>IF(Painel!$C$5&gt;=AK$2,AJ32,0)</f>
        <v>0</v>
      </c>
      <c r="AL32" s="299">
        <f>IF(Painel!$C$5&gt;=AL$2,AK32,0)</f>
        <v>0</v>
      </c>
      <c r="AM32" s="299">
        <f>IF(Painel!$C$5&gt;=AM$2,AL32,0)</f>
        <v>0</v>
      </c>
      <c r="AN32" s="299">
        <f>IF(Painel!$C$5&gt;=AN$2,AM32,0)</f>
        <v>0</v>
      </c>
    </row>
    <row r="33" spans="1:40" ht="12" customHeight="1">
      <c r="A33" s="63" t="s">
        <v>30</v>
      </c>
      <c r="B33" s="72"/>
      <c r="C33" s="76">
        <f t="shared" ref="C33:C39" si="3">SUM(E33:AJ33)</f>
        <v>36576.915125660686</v>
      </c>
      <c r="D33" s="580">
        <f t="shared" ref="D33:D39" si="4">C33/$C$40</f>
        <v>9.1622924490178254E-2</v>
      </c>
      <c r="E33" s="299">
        <f>IF(Painel!$C$5&gt;=E2,MatrizdeUsos!$B$18*MatrizdeUsos!$C$18*('Estudo de Demanda'!H13+'Estudo de Demanda'!H12)/1000*E3,0)</f>
        <v>511.88731000516782</v>
      </c>
      <c r="F33" s="299">
        <f>IF(Painel!$C$5&gt;=F2,MatrizdeUsos!$B$18*MatrizdeUsos!$C$18*('Estudo de Demanda'!I13+'Estudo de Demanda'!I12)/1000*F3,0)</f>
        <v>901.69281259198897</v>
      </c>
      <c r="G33" s="299">
        <f>IF(Painel!$C$5&gt;=G2,MatrizdeUsos!$B$18*MatrizdeUsos!$C$18*('Estudo de Demanda'!J13+'Estudo de Demanda'!J12)/1000*G3,0)</f>
        <v>1205.8399024197356</v>
      </c>
      <c r="H33" s="299">
        <f>IF(Painel!$C$5&gt;=H2,MatrizdeUsos!$B$18*MatrizdeUsos!$C$18*('Estudo de Demanda'!K13+'Estudo de Demanda'!K12)/1000*H3,0)</f>
        <v>1209.4349029679629</v>
      </c>
      <c r="I33" s="299">
        <f>IF(Painel!$C$5&gt;=I2,MatrizdeUsos!$B$18*MatrizdeUsos!$C$18*('Estudo de Demanda'!L13+'Estudo de Demanda'!L12)/1000*I3,0)</f>
        <v>1213.0421265180541</v>
      </c>
      <c r="J33" s="299">
        <f>IF(Painel!$C$5&gt;=J2,MatrizdeUsos!$B$18*MatrizdeUsos!$C$18*('Estudo de Demanda'!M13+'Estudo de Demanda'!M12)/1000*J3,0)</f>
        <v>1216.6616146282156</v>
      </c>
      <c r="K33" s="299">
        <f>IF(Painel!$C$5&gt;=K2,MatrizdeUsos!$B$18*MatrizdeUsos!$C$18*('Estudo de Demanda'!N13+'Estudo de Demanda'!N12)/1000*K3,0)</f>
        <v>1220.2934089979515</v>
      </c>
      <c r="L33" s="299">
        <f>IF(Painel!$C$5&gt;=L2,MatrizdeUsos!$B$18*MatrizdeUsos!$C$18*('Estudo de Demanda'!O13+'Estudo de Demanda'!O12)/1000*L3,0)</f>
        <v>1223.9375514685446</v>
      </c>
      <c r="M33" s="299">
        <f>IF(Painel!$C$5&gt;=M2,MatrizdeUsos!$B$18*MatrizdeUsos!$C$18*('Estudo de Demanda'!P13+'Estudo de Demanda'!P12)/1000*M3,0)</f>
        <v>1227.594084023538</v>
      </c>
      <c r="N33" s="299">
        <f>IF(Painel!$C$5&gt;=N2,MatrizdeUsos!$B$18*MatrizdeUsos!$C$18*('Estudo de Demanda'!Q13+'Estudo de Demanda'!Q12)/1000*N3,0)</f>
        <v>1231.2630487892179</v>
      </c>
      <c r="O33" s="299">
        <f>IF(Painel!$C$5&gt;=O2,MatrizdeUsos!$B$18*MatrizdeUsos!$C$18*('Estudo de Demanda'!R13+'Estudo de Demanda'!R12)/1000*O3,0)</f>
        <v>1234.9444880351014</v>
      </c>
      <c r="P33" s="299">
        <f>IF(Painel!$C$5&gt;=P2,MatrizdeUsos!$B$18*MatrizdeUsos!$C$18*('Estudo de Demanda'!S13+'Estudo de Demanda'!S12)/1000*P3,0)</f>
        <v>1238.6384441744206</v>
      </c>
      <c r="Q33" s="299">
        <f>IF(Painel!$C$5&gt;=Q2,MatrizdeUsos!$B$18*MatrizdeUsos!$C$18*('Estudo de Demanda'!T13+'Estudo de Demanda'!T12)/1000*Q3,0)</f>
        <v>1242.3449597646138</v>
      </c>
      <c r="R33" s="299">
        <f>IF(Painel!$C$5&gt;=R2,MatrizdeUsos!$B$18*MatrizdeUsos!$C$18*('Estudo de Demanda'!U13+'Estudo de Demanda'!U12)/1000*R3,0)</f>
        <v>1246.0640775078136</v>
      </c>
      <c r="S33" s="299">
        <f>IF(Painel!$C$5&gt;=S2,MatrizdeUsos!$B$18*MatrizdeUsos!$C$18*('Estudo de Demanda'!V13+'Estudo de Demanda'!V12)/1000*S3,0)</f>
        <v>1249.7958402513402</v>
      </c>
      <c r="T33" s="299">
        <f>IF(Painel!$C$5&gt;=T2,MatrizdeUsos!$B$18*MatrizdeUsos!$C$18*('Estudo de Demanda'!W13+'Estudo de Demanda'!W12)/1000*T3,0)</f>
        <v>1253.5402909881948</v>
      </c>
      <c r="U33" s="299">
        <f>IF(Painel!$C$5&gt;=U2,MatrizdeUsos!$B$18*MatrizdeUsos!$C$18*('Estudo de Demanda'!X13+'Estudo de Demanda'!X12)/1000*U3,0)</f>
        <v>1257.297472857555</v>
      </c>
      <c r="V33" s="299">
        <f>IF(Painel!$C$5&gt;=V2,MatrizdeUsos!$B$18*MatrizdeUsos!$C$18*('Estudo de Demanda'!Y13+'Estudo de Demanda'!Y12)/1000*V3,0)</f>
        <v>1261.0674291452706</v>
      </c>
      <c r="W33" s="299">
        <f>IF(Painel!$C$5&gt;=W2,MatrizdeUsos!$B$18*MatrizdeUsos!$C$18*('Estudo de Demanda'!Z13+'Estudo de Demanda'!Z12)/1000*W3,0)</f>
        <v>1264.8502032843646</v>
      </c>
      <c r="X33" s="299">
        <f>IF(Painel!$C$5&gt;=X2,MatrizdeUsos!$B$18*MatrizdeUsos!$C$18*('Estudo de Demanda'!AA13+'Estudo de Demanda'!AA12)/1000*X3,0)</f>
        <v>1268.6458388555316</v>
      </c>
      <c r="Y33" s="299">
        <f>IF(Painel!$C$5&gt;=Y2,MatrizdeUsos!$B$18*MatrizdeUsos!$C$18*('Estudo de Demanda'!AB13+'Estudo de Demanda'!AB12)/1000*Y3,0)</f>
        <v>1272.4543795876405</v>
      </c>
      <c r="Z33" s="299">
        <f>IF(Painel!$C$5&gt;=Z2,MatrizdeUsos!$B$18*MatrizdeUsos!$C$18*('Estudo de Demanda'!AC13+'Estudo de Demanda'!AC12)/1000*Z3,0)</f>
        <v>1276.2758693582387</v>
      </c>
      <c r="AA33" s="299">
        <f>IF(Painel!$C$5&gt;=AA2,MatrizdeUsos!$B$18*MatrizdeUsos!$C$18*('Estudo de Demanda'!AD13+'Estudo de Demanda'!AD12)/1000*AA3,0)</f>
        <v>1280.1103521940565</v>
      </c>
      <c r="AB33" s="299">
        <f>IF(Painel!$C$5&gt;=AB2,MatrizdeUsos!$B$18*MatrizdeUsos!$C$18*('Estudo de Demanda'!AE13+'Estudo de Demanda'!AE12)/1000*AB3,0)</f>
        <v>1283.9578722715164</v>
      </c>
      <c r="AC33" s="299">
        <f>IF(Painel!$C$5&gt;=AC2,MatrizdeUsos!$B$18*MatrizdeUsos!$C$18*('Estudo de Demanda'!AF13+'Estudo de Demanda'!AF12)/1000*AC3,0)</f>
        <v>1287.8184739172395</v>
      </c>
      <c r="AD33" s="299">
        <f>IF(Painel!$C$5&gt;=AD2,MatrizdeUsos!$B$18*MatrizdeUsos!$C$18*('Estudo de Demanda'!AG13+'Estudo de Demanda'!AG12)/1000*AD3,0)</f>
        <v>1291.6922016085584</v>
      </c>
      <c r="AE33" s="299">
        <f>IF(Painel!$C$5&gt;=AE2,MatrizdeUsos!$B$18*MatrizdeUsos!$C$18*('Estudo de Demanda'!AH13+'Estudo de Demanda'!AH12)/1000*AE3,0)</f>
        <v>1295.5790999740273</v>
      </c>
      <c r="AF33" s="299">
        <f>IF(Painel!$C$5&gt;=AF2,MatrizdeUsos!$B$18*MatrizdeUsos!$C$18*('Estudo de Demanda'!AI13+'Estudo de Demanda'!AI12)/1000*AF3,0)</f>
        <v>1299.4792137939394</v>
      </c>
      <c r="AG33" s="299">
        <f>IF(Painel!$C$5&gt;=AG2,MatrizdeUsos!$B$18*MatrizdeUsos!$C$18*('Estudo de Demanda'!AJ13+'Estudo de Demanda'!AJ12)/1000*AG3,0)</f>
        <v>1303.3925880008387</v>
      </c>
      <c r="AH33" s="299">
        <f>IF(Painel!$C$5&gt;=AH2,MatrizdeUsos!$B$18*MatrizdeUsos!$C$18*('Estudo de Demanda'!AK13+'Estudo de Demanda'!AK12)/1000*AH3,0)</f>
        <v>1307.3192676800418</v>
      </c>
      <c r="AI33" s="299">
        <f>IF(Painel!$C$5&gt;=AI$2,AH33,0)</f>
        <v>0</v>
      </c>
      <c r="AJ33" s="299">
        <f>IF(Painel!$C$5&gt;=AJ$2,AI33,0)</f>
        <v>0</v>
      </c>
      <c r="AK33" s="299">
        <f>IF(Painel!$C$5&gt;=AK$2,AJ33,0)</f>
        <v>0</v>
      </c>
      <c r="AL33" s="299">
        <f>IF(Painel!$C$5&gt;=AL$2,AK33,0)</f>
        <v>0</v>
      </c>
      <c r="AM33" s="299">
        <f>IF(Painel!$C$5&gt;=AM$2,AL33,0)</f>
        <v>0</v>
      </c>
      <c r="AN33" s="299">
        <f>IF(Painel!$C$5&gt;=AN$2,AM33,0)</f>
        <v>0</v>
      </c>
    </row>
    <row r="34" spans="1:40" ht="12" customHeight="1">
      <c r="A34" s="63" t="s">
        <v>168</v>
      </c>
      <c r="B34" s="72"/>
      <c r="C34" s="76">
        <f t="shared" si="3"/>
        <v>42916.913747441875</v>
      </c>
      <c r="D34" s="580">
        <f t="shared" si="4"/>
        <v>0.10750423140180915</v>
      </c>
      <c r="E34" s="76">
        <f>MatrizdeUsos!$B$19*MatrizdeUsos!$C$19*('Estudo de Demanda'!H12+'Estudo de Demanda'!H13)/1000*E3</f>
        <v>600.61444373939685</v>
      </c>
      <c r="F34" s="76">
        <f>MatrizdeUsos!$B$19*MatrizdeUsos!$C$19*('Estudo de Demanda'!I12+'Estudo de Demanda'!I13)/1000*F3</f>
        <v>1057.9862334412671</v>
      </c>
      <c r="G34" s="76">
        <f>MatrizdeUsos!$B$19*MatrizdeUsos!$C$19*('Estudo de Demanda'!J12+'Estudo de Demanda'!J13)/1000*G3</f>
        <v>1414.8521521724897</v>
      </c>
      <c r="H34" s="76">
        <f>MatrizdeUsos!$B$19*MatrizdeUsos!$C$19*('Estudo de Demanda'!K12+'Estudo de Demanda'!K13)/1000*H3</f>
        <v>1419.0702861490763</v>
      </c>
      <c r="I34" s="76">
        <f>MatrizdeUsos!$B$19*MatrizdeUsos!$C$19*('Estudo de Demanda'!L12+'Estudo de Demanda'!L13)/1000*I3</f>
        <v>1423.3027617811836</v>
      </c>
      <c r="J34" s="76">
        <f>MatrizdeUsos!$B$19*MatrizdeUsos!$C$19*('Estudo de Demanda'!M12+'Estudo de Demanda'!M13)/1000*J3</f>
        <v>1427.5496278304395</v>
      </c>
      <c r="K34" s="76">
        <f>MatrizdeUsos!$B$19*MatrizdeUsos!$C$19*('Estudo de Demanda'!N12+'Estudo de Demanda'!N13)/1000*K3</f>
        <v>1431.810933224263</v>
      </c>
      <c r="L34" s="76">
        <f>MatrizdeUsos!$B$19*MatrizdeUsos!$C$19*('Estudo de Demanda'!O12+'Estudo de Demanda'!O13)/1000*L3</f>
        <v>1436.0867270564258</v>
      </c>
      <c r="M34" s="76">
        <f>MatrizdeUsos!$B$19*MatrizdeUsos!$C$19*('Estudo de Demanda'!P12+'Estudo de Demanda'!P13)/1000*M3</f>
        <v>1440.377058587618</v>
      </c>
      <c r="N34" s="76">
        <f>MatrizdeUsos!$B$19*MatrizdeUsos!$C$19*('Estudo de Demanda'!Q12+'Estudo de Demanda'!Q13)/1000*N3</f>
        <v>1444.6819772460155</v>
      </c>
      <c r="O34" s="76">
        <f>MatrizdeUsos!$B$19*MatrizdeUsos!$C$19*('Estudo de Demanda'!R12+'Estudo de Demanda'!R13)/1000*O3</f>
        <v>1449.0015326278522</v>
      </c>
      <c r="P34" s="76">
        <f>MatrizdeUsos!$B$19*MatrizdeUsos!$C$19*('Estudo de Demanda'!S12+'Estudo de Demanda'!S13)/1000*P3</f>
        <v>1453.3357744979869</v>
      </c>
      <c r="Q34" s="76">
        <f>MatrizdeUsos!$B$19*MatrizdeUsos!$C$19*('Estudo de Demanda'!T12+'Estudo de Demanda'!T13)/1000*Q3</f>
        <v>1457.6847527904804</v>
      </c>
      <c r="R34" s="76">
        <f>MatrizdeUsos!$B$19*MatrizdeUsos!$C$19*('Estudo de Demanda'!U12+'Estudo de Demanda'!U13)/1000*R3</f>
        <v>1462.0485176091681</v>
      </c>
      <c r="S34" s="76">
        <f>MatrizdeUsos!$B$19*MatrizdeUsos!$C$19*('Estudo de Demanda'!V12+'Estudo de Demanda'!V13)/1000*S3</f>
        <v>1466.4271192282395</v>
      </c>
      <c r="T34" s="76">
        <f>MatrizdeUsos!$B$19*MatrizdeUsos!$C$19*('Estudo de Demanda'!W12+'Estudo de Demanda'!W13)/1000*T3</f>
        <v>1470.8206080928153</v>
      </c>
      <c r="U34" s="76">
        <f>MatrizdeUsos!$B$19*MatrizdeUsos!$C$19*('Estudo de Demanda'!X12+'Estudo de Demanda'!X13)/1000*U3</f>
        <v>1475.2290348195311</v>
      </c>
      <c r="V34" s="76">
        <f>MatrizdeUsos!$B$19*MatrizdeUsos!$C$19*('Estudo de Demanda'!Y12+'Estudo de Demanda'!Y13)/1000*V3</f>
        <v>1479.6524501971176</v>
      </c>
      <c r="W34" s="76">
        <f>MatrizdeUsos!$B$19*MatrizdeUsos!$C$19*('Estudo de Demanda'!Z12+'Estudo de Demanda'!Z13)/1000*W3</f>
        <v>1484.090905186988</v>
      </c>
      <c r="X34" s="76">
        <f>MatrizdeUsos!$B$19*MatrizdeUsos!$C$19*('Estudo de Demanda'!AA12+'Estudo de Demanda'!AA13)/1000*X3</f>
        <v>1488.5444509238234</v>
      </c>
      <c r="Y34" s="76">
        <f>MatrizdeUsos!$B$19*MatrizdeUsos!$C$19*('Estudo de Demanda'!AB12+'Estudo de Demanda'!AB13)/1000*Y3</f>
        <v>1493.013138716165</v>
      </c>
      <c r="Z34" s="76">
        <f>MatrizdeUsos!$B$19*MatrizdeUsos!$C$19*('Estudo de Demanda'!AC12+'Estudo de Demanda'!AC13)/1000*Z3</f>
        <v>1497.497020047</v>
      </c>
      <c r="AA34" s="76">
        <f>MatrizdeUsos!$B$19*MatrizdeUsos!$C$19*('Estudo de Demanda'!AD12+'Estudo de Demanda'!AD13)/1000*AA3</f>
        <v>1501.99614657436</v>
      </c>
      <c r="AB34" s="76">
        <f>MatrizdeUsos!$B$19*MatrizdeUsos!$C$19*('Estudo de Demanda'!AE12+'Estudo de Demanda'!AE13)/1000*AB3</f>
        <v>1506.5105701319126</v>
      </c>
      <c r="AC34" s="76">
        <f>MatrizdeUsos!$B$19*MatrizdeUsos!$C$19*('Estudo de Demanda'!AF12+'Estudo de Demanda'!AF13)/1000*AC3</f>
        <v>1511.040342729561</v>
      </c>
      <c r="AD34" s="76">
        <f>MatrizdeUsos!$B$19*MatrizdeUsos!$C$19*('Estudo de Demanda'!AG12+'Estudo de Demanda'!AG13)/1000*AD3</f>
        <v>1515.585516554042</v>
      </c>
      <c r="AE34" s="76">
        <f>MatrizdeUsos!$B$19*MatrizdeUsos!$C$19*('Estudo de Demanda'!AH12+'Estudo de Demanda'!AH13)/1000*AE3</f>
        <v>1520.1461439695256</v>
      </c>
      <c r="AF34" s="76">
        <f>MatrizdeUsos!$B$19*MatrizdeUsos!$C$19*('Estudo de Demanda'!AI12+'Estudo de Demanda'!AI13)/1000*AF3</f>
        <v>1524.7222775182222</v>
      </c>
      <c r="AG34" s="76">
        <f>MatrizdeUsos!$B$19*MatrizdeUsos!$C$19*('Estudo de Demanda'!AJ12+'Estudo de Demanda'!AJ13)/1000*AG3</f>
        <v>1529.3139699209837</v>
      </c>
      <c r="AH34" s="76">
        <f>MatrizdeUsos!$B$19*MatrizdeUsos!$C$19*('Estudo de Demanda'!AK12+'Estudo de Demanda'!AK13)/1000*AH3</f>
        <v>1533.9212740779155</v>
      </c>
      <c r="AI34" s="299">
        <f>IF(Painel!$C$5&gt;=AI$2,AH34,0)</f>
        <v>0</v>
      </c>
      <c r="AJ34" s="299">
        <f>IF(Painel!$C$5&gt;=AJ$2,AI34,0)</f>
        <v>0</v>
      </c>
      <c r="AK34" s="299">
        <f>IF(Painel!$C$5&gt;=AK$2,AJ34,0)</f>
        <v>0</v>
      </c>
      <c r="AL34" s="299">
        <f>IF(Painel!$C$5&gt;=AL$2,AK34,0)</f>
        <v>0</v>
      </c>
      <c r="AM34" s="299">
        <f>IF(Painel!$C$5&gt;=AM$2,AL34,0)</f>
        <v>0</v>
      </c>
      <c r="AN34" s="299">
        <f>IF(Painel!$C$5&gt;=AN$2,AM34,0)</f>
        <v>0</v>
      </c>
    </row>
    <row r="35" spans="1:40" ht="12" customHeight="1">
      <c r="A35" s="63" t="s">
        <v>169</v>
      </c>
      <c r="B35" s="72"/>
      <c r="C35" s="76">
        <f t="shared" si="3"/>
        <v>73323.681866949672</v>
      </c>
      <c r="D35" s="580">
        <f t="shared" si="4"/>
        <v>0.1836713168389712</v>
      </c>
      <c r="E35" s="76">
        <f>MatrizdeUsos!$B$20*MatrizdeUsos!$C$20*('Estudo de Demanda'!H12+'Estudo de Demanda'!H13)/1000*E3</f>
        <v>1026.1516626429718</v>
      </c>
      <c r="F35" s="76">
        <f>MatrizdeUsos!$B$20*MatrizdeUsos!$C$20*('Estudo de Demanda'!I12+'Estudo de Demanda'!I13)/1000*F3</f>
        <v>1807.5728011799042</v>
      </c>
      <c r="G35" s="76">
        <f>MatrizdeUsos!$B$20*MatrizdeUsos!$C$20*('Estudo de Demanda'!J12+'Estudo de Demanda'!J13)/1000*G3</f>
        <v>2417.2793436445195</v>
      </c>
      <c r="H35" s="76">
        <f>MatrizdeUsos!$B$20*MatrizdeUsos!$C$20*('Estudo de Demanda'!K12+'Estudo de Demanda'!K13)/1000*H3</f>
        <v>2424.4860387855424</v>
      </c>
      <c r="I35" s="76">
        <f>MatrizdeUsos!$B$20*MatrizdeUsos!$C$20*('Estudo de Demanda'!L12+'Estudo de Demanda'!L13)/1000*I3</f>
        <v>2431.7172366900459</v>
      </c>
      <c r="J35" s="76">
        <f>MatrizdeUsos!$B$20*MatrizdeUsos!$C$20*('Estudo de Demanda'!M12+'Estudo de Demanda'!M13)/1000*J3</f>
        <v>2438.9730206674235</v>
      </c>
      <c r="K35" s="76">
        <f>MatrizdeUsos!$B$20*MatrizdeUsos!$C$20*('Estudo de Demanda'!N12+'Estudo de Demanda'!N13)/1000*K3</f>
        <v>2446.2534743103247</v>
      </c>
      <c r="L35" s="76">
        <f>MatrizdeUsos!$B$20*MatrizdeUsos!$C$20*('Estudo de Demanda'!O12+'Estudo de Demanda'!O13)/1000*L3</f>
        <v>2453.5586814956118</v>
      </c>
      <c r="M35" s="76">
        <f>MatrizdeUsos!$B$20*MatrizdeUsos!$C$20*('Estudo de Demanda'!P12+'Estudo de Demanda'!P13)/1000*M3</f>
        <v>2460.8887263853289</v>
      </c>
      <c r="N35" s="76">
        <f>MatrizdeUsos!$B$20*MatrizdeUsos!$C$20*('Estudo de Demanda'!Q12+'Estudo de Demanda'!Q13)/1000*N3</f>
        <v>2468.2436934276707</v>
      </c>
      <c r="O35" s="76">
        <f>MatrizdeUsos!$B$20*MatrizdeUsos!$C$20*('Estudo de Demanda'!R12+'Estudo de Demanda'!R13)/1000*O3</f>
        <v>2475.6236673579569</v>
      </c>
      <c r="P35" s="76">
        <f>MatrizdeUsos!$B$20*MatrizdeUsos!$C$20*('Estudo de Demanda'!S12+'Estudo de Demanda'!S13)/1000*P3</f>
        <v>2483.0287331996055</v>
      </c>
      <c r="Q35" s="76">
        <f>MatrizdeUsos!$B$20*MatrizdeUsos!$C$20*('Estudo de Demanda'!T12+'Estudo de Demanda'!T13)/1000*Q3</f>
        <v>2490.4589762651167</v>
      </c>
      <c r="R35" s="76">
        <f>MatrizdeUsos!$B$20*MatrizdeUsos!$C$20*('Estudo de Demanda'!U12+'Estudo de Demanda'!U13)/1000*R3</f>
        <v>2497.9144821570499</v>
      </c>
      <c r="S35" s="76">
        <f>MatrizdeUsos!$B$20*MatrizdeUsos!$C$20*('Estudo de Demanda'!V12+'Estudo de Demanda'!V13)/1000*S3</f>
        <v>2505.3953367690156</v>
      </c>
      <c r="T35" s="76">
        <f>MatrizdeUsos!$B$20*MatrizdeUsos!$C$20*('Estudo de Demanda'!W12+'Estudo de Demanda'!W13)/1000*T3</f>
        <v>2512.9016262866621</v>
      </c>
      <c r="U35" s="76">
        <f>MatrizdeUsos!$B$20*MatrizdeUsos!$C$20*('Estudo de Demanda'!X12+'Estudo de Demanda'!X13)/1000*U3</f>
        <v>2520.4334371886684</v>
      </c>
      <c r="V35" s="76">
        <f>MatrizdeUsos!$B$20*MatrizdeUsos!$C$20*('Estudo de Demanda'!Y12+'Estudo de Demanda'!Y13)/1000*V3</f>
        <v>2527.9908562477422</v>
      </c>
      <c r="W35" s="76">
        <f>MatrizdeUsos!$B$20*MatrizdeUsos!$C$20*('Estudo de Demanda'!Z12+'Estudo de Demanda'!Z13)/1000*W3</f>
        <v>2535.5739705316164</v>
      </c>
      <c r="X35" s="76">
        <f>MatrizdeUsos!$B$20*MatrizdeUsos!$C$20*('Estudo de Demanda'!AA12+'Estudo de Demanda'!AA13)/1000*X3</f>
        <v>2543.1828674040553</v>
      </c>
      <c r="Y35" s="76">
        <f>MatrizdeUsos!$B$20*MatrizdeUsos!$C$20*('Estudo de Demanda'!AB12+'Estudo de Demanda'!AB13)/1000*Y3</f>
        <v>2550.8176345258616</v>
      </c>
      <c r="Z35" s="76">
        <f>MatrizdeUsos!$B$20*MatrizdeUsos!$C$20*('Estudo de Demanda'!AC12+'Estudo de Demanda'!AC13)/1000*Z3</f>
        <v>2558.4783598558815</v>
      </c>
      <c r="AA35" s="76">
        <f>MatrizdeUsos!$B$20*MatrizdeUsos!$C$20*('Estudo de Demanda'!AD12+'Estudo de Demanda'!AD13)/1000*AA3</f>
        <v>2566.1651316520233</v>
      </c>
      <c r="AB35" s="76">
        <f>MatrizdeUsos!$B$20*MatrizdeUsos!$C$20*('Estudo de Demanda'!AE12+'Estudo de Demanda'!AE13)/1000*AB3</f>
        <v>2573.8780384722713</v>
      </c>
      <c r="AC35" s="76">
        <f>MatrizdeUsos!$B$20*MatrizdeUsos!$C$20*('Estudo de Demanda'!AF12+'Estudo de Demanda'!AF13)/1000*AC3</f>
        <v>2581.617169175709</v>
      </c>
      <c r="AD35" s="76">
        <f>MatrizdeUsos!$B$20*MatrizdeUsos!$C$20*('Estudo de Demanda'!AG12+'Estudo de Demanda'!AG13)/1000*AD3</f>
        <v>2589.382612923539</v>
      </c>
      <c r="AE35" s="76">
        <f>MatrizdeUsos!$B$20*MatrizdeUsos!$C$20*('Estudo de Demanda'!AH12+'Estudo de Demanda'!AH13)/1000*AE3</f>
        <v>2597.1744591801107</v>
      </c>
      <c r="AF35" s="76">
        <f>MatrizdeUsos!$B$20*MatrizdeUsos!$C$20*('Estudo de Demanda'!AI12+'Estudo de Demanda'!AI13)/1000*AF3</f>
        <v>2604.992797713955</v>
      </c>
      <c r="AG35" s="76">
        <f>MatrizdeUsos!$B$20*MatrizdeUsos!$C$20*('Estudo de Demanda'!AJ12+'Estudo de Demanda'!AJ13)/1000*AG3</f>
        <v>2612.8377185988138</v>
      </c>
      <c r="AH35" s="76">
        <f>MatrizdeUsos!$B$20*MatrizdeUsos!$C$20*('Estudo de Demanda'!AK12+'Estudo de Demanda'!AK13)/1000*AH3</f>
        <v>2620.7093122146825</v>
      </c>
      <c r="AI35" s="299">
        <f>IF(Painel!$C$5&gt;=AI$2,AH35,0)</f>
        <v>0</v>
      </c>
      <c r="AJ35" s="299">
        <f>IF(Painel!$C$5&gt;=AJ$2,AI35,0)</f>
        <v>0</v>
      </c>
      <c r="AK35" s="299">
        <f>IF(Painel!$C$5&gt;=AK$2,AJ35,0)</f>
        <v>0</v>
      </c>
      <c r="AL35" s="299">
        <f>IF(Painel!$C$5&gt;=AL$2,AK35,0)</f>
        <v>0</v>
      </c>
      <c r="AM35" s="299">
        <f>IF(Painel!$C$5&gt;=AM$2,AL35,0)</f>
        <v>0</v>
      </c>
      <c r="AN35" s="299">
        <f>IF(Painel!$C$5&gt;=AN$2,AM35,0)</f>
        <v>0</v>
      </c>
    </row>
    <row r="36" spans="1:40" ht="12" customHeight="1">
      <c r="A36" s="63" t="s">
        <v>170</v>
      </c>
      <c r="B36" s="72"/>
      <c r="C36" s="76">
        <f t="shared" si="3"/>
        <v>128978.03915771004</v>
      </c>
      <c r="D36" s="580">
        <f t="shared" si="4"/>
        <v>0.32308206151446633</v>
      </c>
      <c r="E36" s="204">
        <f>MatrizdeUsos!$B$24*MatrizdeUsos!$C$24*('Estudo de Demanda'!H12)/1000*E3</f>
        <v>1793.9098950879873</v>
      </c>
      <c r="F36" s="204">
        <f>MatrizdeUsos!$B$24*MatrizdeUsos!$C$24*('Estudo de Demanda'!I12)/1000*F3</f>
        <v>3161.3108503679564</v>
      </c>
      <c r="G36" s="204">
        <f>MatrizdeUsos!$B$24*MatrizdeUsos!$C$24*('Estudo de Demanda'!J12)/1000*G3</f>
        <v>4229.4124096789428</v>
      </c>
      <c r="H36" s="204">
        <f>MatrizdeUsos!$B$24*MatrizdeUsos!$C$24*('Estudo de Demanda'!K12)/1000*H3</f>
        <v>4243.7924118718511</v>
      </c>
      <c r="I36" s="204">
        <f>MatrizdeUsos!$B$24*MatrizdeUsos!$C$24*('Estudo de Demanda'!L12)/1000*I3</f>
        <v>4258.2213060722161</v>
      </c>
      <c r="J36" s="204">
        <f>MatrizdeUsos!$B$24*MatrizdeUsos!$C$24*('Estudo de Demanda'!M12)/1000*J3</f>
        <v>4272.6992585128619</v>
      </c>
      <c r="K36" s="204">
        <f>MatrizdeUsos!$B$24*MatrizdeUsos!$C$24*('Estudo de Demanda'!N12)/1000*K3</f>
        <v>4287.2264359918063</v>
      </c>
      <c r="L36" s="204">
        <f>MatrizdeUsos!$B$24*MatrizdeUsos!$C$24*('Estudo de Demanda'!O12)/1000*L3</f>
        <v>4301.8030058741788</v>
      </c>
      <c r="M36" s="204">
        <f>MatrizdeUsos!$B$24*MatrizdeUsos!$C$24*('Estudo de Demanda'!P12)/1000*M3</f>
        <v>4316.4291360941506</v>
      </c>
      <c r="N36" s="204">
        <f>MatrizdeUsos!$B$24*MatrizdeUsos!$C$24*('Estudo de Demanda'!Q12)/1000*N3</f>
        <v>4331.1049951568712</v>
      </c>
      <c r="O36" s="204">
        <f>MatrizdeUsos!$B$24*MatrizdeUsos!$C$24*('Estudo de Demanda'!R12)/1000*O3</f>
        <v>4345.8307521404058</v>
      </c>
      <c r="P36" s="204">
        <f>MatrizdeUsos!$B$24*MatrizdeUsos!$C$24*('Estudo de Demanda'!S12)/1000*P3</f>
        <v>4360.6065766976826</v>
      </c>
      <c r="Q36" s="204">
        <f>MatrizdeUsos!$B$24*MatrizdeUsos!$C$24*('Estudo de Demanda'!T12)/1000*Q3</f>
        <v>4375.4326390584556</v>
      </c>
      <c r="R36" s="204">
        <f>MatrizdeUsos!$B$24*MatrizdeUsos!$C$24*('Estudo de Demanda'!U12)/1000*R3</f>
        <v>4390.3091100312549</v>
      </c>
      <c r="S36" s="204">
        <f>MatrizdeUsos!$B$24*MatrizdeUsos!$C$24*('Estudo de Demanda'!V12)/1000*S3</f>
        <v>4405.2361610053613</v>
      </c>
      <c r="T36" s="204">
        <f>MatrizdeUsos!$B$24*MatrizdeUsos!$C$24*('Estudo de Demanda'!W12)/1000*T3</f>
        <v>4420.2139639527795</v>
      </c>
      <c r="U36" s="204">
        <f>MatrizdeUsos!$B$24*MatrizdeUsos!$C$24*('Estudo de Demanda'!X12)/1000*U3</f>
        <v>4435.2426914302196</v>
      </c>
      <c r="V36" s="204">
        <f>MatrizdeUsos!$B$24*MatrizdeUsos!$C$24*('Estudo de Demanda'!Y12)/1000*V3</f>
        <v>4450.3225165810827</v>
      </c>
      <c r="W36" s="204">
        <f>MatrizdeUsos!$B$24*MatrizdeUsos!$C$24*('Estudo de Demanda'!Z12)/1000*W3</f>
        <v>4465.4536131374589</v>
      </c>
      <c r="X36" s="204">
        <f>MatrizdeUsos!$B$24*MatrizdeUsos!$C$24*('Estudo de Demanda'!AA12)/1000*X3</f>
        <v>4480.6361554221257</v>
      </c>
      <c r="Y36" s="204">
        <f>MatrizdeUsos!$B$24*MatrizdeUsos!$C$24*('Estudo de Demanda'!AB12)/1000*Y3</f>
        <v>4495.8703183505622</v>
      </c>
      <c r="Z36" s="204">
        <f>MatrizdeUsos!$B$24*MatrizdeUsos!$C$24*('Estudo de Demanda'!AC12)/1000*Z3</f>
        <v>4511.1562774329541</v>
      </c>
      <c r="AA36" s="204">
        <f>MatrizdeUsos!$B$24*MatrizdeUsos!$C$24*('Estudo de Demanda'!AD12)/1000*AA3</f>
        <v>4526.4942087762265</v>
      </c>
      <c r="AB36" s="204">
        <f>MatrizdeUsos!$B$24*MatrizdeUsos!$C$24*('Estudo de Demanda'!AE12)/1000*AB3</f>
        <v>4541.884289086066</v>
      </c>
      <c r="AC36" s="204">
        <f>MatrizdeUsos!$B$24*MatrizdeUsos!$C$24*('Estudo de Demanda'!AF12)/1000*AC3</f>
        <v>4557.3266956689586</v>
      </c>
      <c r="AD36" s="204">
        <f>MatrizdeUsos!$B$24*MatrizdeUsos!$C$24*('Estudo de Demanda'!AG12)/1000*AD3</f>
        <v>4572.8216064342332</v>
      </c>
      <c r="AE36" s="204">
        <f>MatrizdeUsos!$B$24*MatrizdeUsos!$C$24*('Estudo de Demanda'!AH12)/1000*AE3</f>
        <v>4588.3691998961103</v>
      </c>
      <c r="AF36" s="204">
        <f>MatrizdeUsos!$B$24*MatrizdeUsos!$C$24*('Estudo de Demanda'!AI12)/1000*AF3</f>
        <v>4603.969655175757</v>
      </c>
      <c r="AG36" s="204">
        <f>MatrizdeUsos!$B$24*MatrizdeUsos!$C$24*('Estudo de Demanda'!AJ12)/1000*AG3</f>
        <v>4619.6231520033543</v>
      </c>
      <c r="AH36" s="204">
        <f>MatrizdeUsos!$B$24*MatrizdeUsos!$C$24*('Estudo de Demanda'!AK12)/1000*AH3</f>
        <v>4635.3298707201666</v>
      </c>
      <c r="AI36" s="299">
        <f>IF(Painel!$C$5&gt;=AI$2,AH36,0)</f>
        <v>0</v>
      </c>
      <c r="AJ36" s="299">
        <f>IF(Painel!$C$5&gt;=AJ$2,AI36,0)</f>
        <v>0</v>
      </c>
      <c r="AK36" s="299">
        <f>IF(Painel!$C$5&gt;=AK$2,AJ36,0)</f>
        <v>0</v>
      </c>
      <c r="AL36" s="299">
        <f>IF(Painel!$C$5&gt;=AL$2,AK36,0)</f>
        <v>0</v>
      </c>
      <c r="AM36" s="299">
        <f>IF(Painel!$C$5&gt;=AM$2,AL36,0)</f>
        <v>0</v>
      </c>
      <c r="AN36" s="299">
        <f>IF(Painel!$C$5&gt;=AN$2,AM36,0)</f>
        <v>0</v>
      </c>
    </row>
    <row r="37" spans="1:40" ht="12" customHeight="1">
      <c r="A37" s="63" t="s">
        <v>171</v>
      </c>
      <c r="B37" s="72"/>
      <c r="C37" s="76">
        <f t="shared" si="3"/>
        <v>73333.266469291368</v>
      </c>
      <c r="D37" s="580">
        <f t="shared" si="4"/>
        <v>0.18369532567879829</v>
      </c>
      <c r="E37" s="76">
        <f>MatrizdeUsos!$B$28*MatrizdeUsos!$C$28*('Estudo de Demanda'!H11+'Estudo de Demanda'!H12+'Estudo de Demanda'!H13)/1000*E3</f>
        <v>1054.160419839382</v>
      </c>
      <c r="F37" s="76">
        <f>MatrizdeUsos!$B$28*MatrizdeUsos!$C$28*('Estudo de Demanda'!I11+'Estudo de Demanda'!I12+'Estudo de Demanda'!I13)/1000*F3</f>
        <v>1853.5824636167908</v>
      </c>
      <c r="G37" s="76">
        <f>MatrizdeUsos!$B$28*MatrizdeUsos!$C$28*('Estudo de Demanda'!J11+'Estudo de Demanda'!J12+'Estudo de Demanda'!J13)/1000*G3</f>
        <v>2474.3692536427839</v>
      </c>
      <c r="H37" s="76">
        <f>MatrizdeUsos!$B$28*MatrizdeUsos!$C$28*('Estudo de Demanda'!K11+'Estudo de Demanda'!K12+'Estudo de Demanda'!K13)/1000*H3</f>
        <v>2477.3051707571694</v>
      </c>
      <c r="I37" s="76">
        <f>MatrizdeUsos!$B$28*MatrizdeUsos!$C$28*('Estudo de Demanda'!L11+'Estudo de Demanda'!L12+'Estudo de Demanda'!L13)/1000*I3</f>
        <v>2480.2510699897434</v>
      </c>
      <c r="J37" s="76">
        <f>MatrizdeUsos!$B$28*MatrizdeUsos!$C$28*('Estudo de Demanda'!M11+'Estudo de Demanda'!M12+'Estudo de Demanda'!M13)/1000*J3</f>
        <v>2483.206985279709</v>
      </c>
      <c r="K37" s="76">
        <f>MatrizdeUsos!$B$28*MatrizdeUsos!$C$28*('Estudo de Demanda'!N11+'Estudo de Demanda'!N12+'Estudo de Demanda'!N13)/1000*K3</f>
        <v>2486.17295068166</v>
      </c>
      <c r="L37" s="76">
        <f>MatrizdeUsos!$B$28*MatrizdeUsos!$C$28*('Estudo de Demanda'!O11+'Estudo de Demanda'!O12+'Estudo de Demanda'!O13)/1000*L3</f>
        <v>2489.1490003659783</v>
      </c>
      <c r="M37" s="76">
        <f>MatrizdeUsos!$B$28*MatrizdeUsos!$C$28*('Estudo de Demanda'!P11+'Estudo de Demanda'!P12+'Estudo de Demanda'!P13)/1000*M3</f>
        <v>2492.1351686192224</v>
      </c>
      <c r="N37" s="76">
        <f>MatrizdeUsos!$B$28*MatrizdeUsos!$C$28*('Estudo de Demanda'!Q11+'Estudo de Demanda'!Q12+'Estudo de Demanda'!Q13)/1000*N3</f>
        <v>2495.1314898445276</v>
      </c>
      <c r="O37" s="76">
        <f>MatrizdeUsos!$B$28*MatrizdeUsos!$C$28*('Estudo de Demanda'!R11+'Estudo de Demanda'!R12+'Estudo de Demanda'!R13)/1000*O3</f>
        <v>2498.1379985619992</v>
      </c>
      <c r="P37" s="76">
        <f>MatrizdeUsos!$B$28*MatrizdeUsos!$C$28*('Estudo de Demanda'!S11+'Estudo de Demanda'!S12+'Estudo de Demanda'!S13)/1000*P3</f>
        <v>2501.1547294091097</v>
      </c>
      <c r="Q37" s="76">
        <f>MatrizdeUsos!$B$28*MatrizdeUsos!$C$28*('Estudo de Demanda'!T11+'Estudo de Demanda'!T12+'Estudo de Demanda'!T13)/1000*Q3</f>
        <v>2504.1817171411012</v>
      </c>
      <c r="R37" s="76">
        <f>MatrizdeUsos!$B$28*MatrizdeUsos!$C$28*('Estudo de Demanda'!U11+'Estudo de Demanda'!U12+'Estudo de Demanda'!U13)/1000*R3</f>
        <v>2507.2189966313808</v>
      </c>
      <c r="S37" s="76">
        <f>MatrizdeUsos!$B$28*MatrizdeUsos!$C$28*('Estudo de Demanda'!V11+'Estudo de Demanda'!V12+'Estudo de Demanda'!V13)/1000*S3</f>
        <v>2510.2666028719273</v>
      </c>
      <c r="T37" s="76">
        <f>MatrizdeUsos!$B$28*MatrizdeUsos!$C$28*('Estudo de Demanda'!W11+'Estudo de Demanda'!W12+'Estudo de Demanda'!W13)/1000*T3</f>
        <v>2513.3245709736921</v>
      </c>
      <c r="U37" s="76">
        <f>MatrizdeUsos!$B$28*MatrizdeUsos!$C$28*('Estudo de Demanda'!X11+'Estudo de Demanda'!X12+'Estudo de Demanda'!X13)/1000*U3</f>
        <v>2516.3929361670025</v>
      </c>
      <c r="V37" s="76">
        <f>MatrizdeUsos!$B$28*MatrizdeUsos!$C$28*('Estudo de Demanda'!Y11+'Estudo de Demanda'!Y12+'Estudo de Demanda'!Y13)/1000*V3</f>
        <v>2519.4717338019709</v>
      </c>
      <c r="W37" s="76">
        <f>MatrizdeUsos!$B$28*MatrizdeUsos!$C$28*('Estudo de Demanda'!Z11+'Estudo de Demanda'!Z12+'Estudo de Demanda'!Z13)/1000*W3</f>
        <v>2522.5609993488974</v>
      </c>
      <c r="X37" s="76">
        <f>MatrizdeUsos!$B$28*MatrizdeUsos!$C$28*('Estudo de Demanda'!AA11+'Estudo de Demanda'!AA12+'Estudo de Demanda'!AA13)/1000*X3</f>
        <v>2525.6607683986836</v>
      </c>
      <c r="Y37" s="76">
        <f>MatrizdeUsos!$B$28*MatrizdeUsos!$C$28*('Estudo de Demanda'!AB11+'Estudo de Demanda'!AB12+'Estudo de Demanda'!AB13)/1000*Y3</f>
        <v>2528.7710766632395</v>
      </c>
      <c r="Z37" s="76">
        <f>MatrizdeUsos!$B$28*MatrizdeUsos!$C$28*('Estudo de Demanda'!AC11+'Estudo de Demanda'!AC12+'Estudo de Demanda'!AC13)/1000*Z3</f>
        <v>2531.8919599758947</v>
      </c>
      <c r="AA37" s="76">
        <f>MatrizdeUsos!$B$28*MatrizdeUsos!$C$28*('Estudo de Demanda'!AD11+'Estudo de Demanda'!AD12+'Estudo de Demanda'!AD13)/1000*AA3</f>
        <v>2535.023454291812</v>
      </c>
      <c r="AB37" s="76">
        <f>MatrizdeUsos!$B$28*MatrizdeUsos!$C$28*('Estudo de Demanda'!AE11+'Estudo de Demanda'!AE12+'Estudo de Demanda'!AE13)/1000*AB3</f>
        <v>2538.1655956884051</v>
      </c>
      <c r="AC37" s="76">
        <f>MatrizdeUsos!$B$28*MatrizdeUsos!$C$28*('Estudo de Demanda'!AF11+'Estudo de Demanda'!AF12+'Estudo de Demanda'!AF13)/1000*AC3</f>
        <v>2541.3184203657452</v>
      </c>
      <c r="AD37" s="76">
        <f>MatrizdeUsos!$B$28*MatrizdeUsos!$C$28*('Estudo de Demanda'!AG11+'Estudo de Demanda'!AG12+'Estudo de Demanda'!AG13)/1000*AD3</f>
        <v>2544.4819646469891</v>
      </c>
      <c r="AE37" s="76">
        <f>MatrizdeUsos!$B$28*MatrizdeUsos!$C$28*('Estudo de Demanda'!AH11+'Estudo de Demanda'!AH12+'Estudo de Demanda'!AH13)/1000*AE3</f>
        <v>2547.6562649787888</v>
      </c>
      <c r="AF37" s="76">
        <f>MatrizdeUsos!$B$28*MatrizdeUsos!$C$28*('Estudo de Demanda'!AI11+'Estudo de Demanda'!AI12+'Estudo de Demanda'!AI13)/1000*AF3</f>
        <v>2550.8413579317166</v>
      </c>
      <c r="AG37" s="76">
        <f>MatrizdeUsos!$B$28*MatrizdeUsos!$C$28*('Estudo de Demanda'!AJ11+'Estudo de Demanda'!AJ12+'Estudo de Demanda'!AJ13)/1000*AG3</f>
        <v>2554.0372802006846</v>
      </c>
      <c r="AH37" s="76">
        <f>MatrizdeUsos!$B$28*MatrizdeUsos!$C$28*('Estudo de Demanda'!AK11+'Estudo de Demanda'!AK12+'Estudo de Demanda'!AK13)/1000*AH3</f>
        <v>2557.2440686053665</v>
      </c>
      <c r="AI37" s="299">
        <f>IF(Painel!$C$5&gt;=AI$2,AH37,0)</f>
        <v>0</v>
      </c>
      <c r="AJ37" s="299">
        <f>IF(Painel!$C$5&gt;=AJ$2,AI37,0)</f>
        <v>0</v>
      </c>
      <c r="AK37" s="299">
        <f>IF(Painel!$C$5&gt;=AK$2,AJ37,0)</f>
        <v>0</v>
      </c>
      <c r="AL37" s="299">
        <f>IF(Painel!$C$5&gt;=AL$2,AK37,0)</f>
        <v>0</v>
      </c>
      <c r="AM37" s="299">
        <f>IF(Painel!$C$5&gt;=AM$2,AL37,0)</f>
        <v>0</v>
      </c>
      <c r="AN37" s="299">
        <f>IF(Painel!$C$5&gt;=AN$2,AM37,0)</f>
        <v>0</v>
      </c>
    </row>
    <row r="38" spans="1:40" ht="12" customHeight="1">
      <c r="A38" s="63" t="s">
        <v>172</v>
      </c>
      <c r="B38" s="72"/>
      <c r="C38" s="76">
        <f t="shared" si="3"/>
        <v>40847.856312658361</v>
      </c>
      <c r="D38" s="580">
        <f t="shared" si="4"/>
        <v>0.10232136968529397</v>
      </c>
      <c r="E38" s="76">
        <f t="shared" ref="E38:AH38" si="5">700*2000/1000*E3</f>
        <v>597.85631265836003</v>
      </c>
      <c r="F38" s="76">
        <f t="shared" si="5"/>
        <v>1050</v>
      </c>
      <c r="G38" s="76">
        <f t="shared" si="5"/>
        <v>1400</v>
      </c>
      <c r="H38" s="76">
        <f t="shared" si="5"/>
        <v>1400</v>
      </c>
      <c r="I38" s="76">
        <f t="shared" si="5"/>
        <v>1400</v>
      </c>
      <c r="J38" s="76">
        <f t="shared" si="5"/>
        <v>1400</v>
      </c>
      <c r="K38" s="76">
        <f t="shared" si="5"/>
        <v>1400</v>
      </c>
      <c r="L38" s="76">
        <f t="shared" si="5"/>
        <v>1400</v>
      </c>
      <c r="M38" s="76">
        <f t="shared" si="5"/>
        <v>1400</v>
      </c>
      <c r="N38" s="76">
        <f t="shared" si="5"/>
        <v>1400</v>
      </c>
      <c r="O38" s="76">
        <f t="shared" si="5"/>
        <v>1400</v>
      </c>
      <c r="P38" s="76">
        <f t="shared" si="5"/>
        <v>1400</v>
      </c>
      <c r="Q38" s="76">
        <f t="shared" si="5"/>
        <v>1400</v>
      </c>
      <c r="R38" s="76">
        <f t="shared" si="5"/>
        <v>1400</v>
      </c>
      <c r="S38" s="76">
        <f t="shared" si="5"/>
        <v>1400</v>
      </c>
      <c r="T38" s="76">
        <f t="shared" si="5"/>
        <v>1400</v>
      </c>
      <c r="U38" s="76">
        <f t="shared" si="5"/>
        <v>1400</v>
      </c>
      <c r="V38" s="76">
        <f t="shared" si="5"/>
        <v>1400</v>
      </c>
      <c r="W38" s="76">
        <f t="shared" si="5"/>
        <v>1400</v>
      </c>
      <c r="X38" s="76">
        <f t="shared" si="5"/>
        <v>1400</v>
      </c>
      <c r="Y38" s="76">
        <f t="shared" si="5"/>
        <v>1400</v>
      </c>
      <c r="Z38" s="76">
        <f t="shared" si="5"/>
        <v>1400</v>
      </c>
      <c r="AA38" s="76">
        <f t="shared" si="5"/>
        <v>1400</v>
      </c>
      <c r="AB38" s="76">
        <f t="shared" si="5"/>
        <v>1400</v>
      </c>
      <c r="AC38" s="76">
        <f t="shared" si="5"/>
        <v>1400</v>
      </c>
      <c r="AD38" s="76">
        <f t="shared" si="5"/>
        <v>1400</v>
      </c>
      <c r="AE38" s="76">
        <f t="shared" si="5"/>
        <v>1400</v>
      </c>
      <c r="AF38" s="76">
        <f t="shared" si="5"/>
        <v>1400</v>
      </c>
      <c r="AG38" s="76">
        <f t="shared" si="5"/>
        <v>1400</v>
      </c>
      <c r="AH38" s="76">
        <f t="shared" si="5"/>
        <v>1400</v>
      </c>
      <c r="AI38" s="299">
        <f>IF(Painel!$C$5&gt;=AI$2,AH38,0)</f>
        <v>0</v>
      </c>
      <c r="AJ38" s="299">
        <f>IF(Painel!$C$5&gt;=AJ$2,AI38,0)</f>
        <v>0</v>
      </c>
      <c r="AK38" s="299">
        <f>IF(Painel!$C$5&gt;=AK$2,AJ38,0)</f>
        <v>0</v>
      </c>
      <c r="AL38" s="299">
        <f>IF(Painel!$C$5&gt;=AL$2,AK38,0)</f>
        <v>0</v>
      </c>
      <c r="AM38" s="299">
        <f>IF(Painel!$C$5&gt;=AM$2,AL38,0)</f>
        <v>0</v>
      </c>
      <c r="AN38" s="299">
        <f>IF(Painel!$C$5&gt;=AN$2,AM38,0)</f>
        <v>0</v>
      </c>
    </row>
    <row r="39" spans="1:40" ht="12" customHeight="1">
      <c r="A39" s="63" t="s">
        <v>173</v>
      </c>
      <c r="B39" s="72"/>
      <c r="C39" s="76">
        <f t="shared" si="3"/>
        <v>1710.6801076346694</v>
      </c>
      <c r="D39" s="580">
        <f t="shared" si="4"/>
        <v>4.2851485367255988E-3</v>
      </c>
      <c r="E39" s="76">
        <f>E3*((Receitas!$B$66*Receitas!$B$67*$B$68)/1000)</f>
        <v>25.037810881927047</v>
      </c>
      <c r="F39" s="76">
        <f>F3*((Receitas!$B$66*Receitas!$B$67*$B$68)/1000)</f>
        <v>43.973277306593289</v>
      </c>
      <c r="G39" s="76">
        <f>G3*((Receitas!$B$66*Receitas!$B$67*$B$68)/1000)</f>
        <v>58.631036408791047</v>
      </c>
      <c r="H39" s="76">
        <f>H3*((Receitas!$B$66*Receitas!$B$67*$B$68)/1000)</f>
        <v>58.631036408791047</v>
      </c>
      <c r="I39" s="76">
        <f>I3*((Receitas!$B$66*Receitas!$B$67*$B$68)/1000)</f>
        <v>58.631036408791047</v>
      </c>
      <c r="J39" s="76">
        <f>J3*((Receitas!$B$66*Receitas!$B$67*$B$68)/1000)</f>
        <v>58.631036408791047</v>
      </c>
      <c r="K39" s="76">
        <f>K3*((Receitas!$B$66*Receitas!$B$67*$B$68)/1000)</f>
        <v>58.631036408791047</v>
      </c>
      <c r="L39" s="76">
        <f>L3*((Receitas!$B$66*Receitas!$B$67*$B$68)/1000)</f>
        <v>58.631036408791047</v>
      </c>
      <c r="M39" s="76">
        <f>M3*((Receitas!$B$66*Receitas!$B$67*$B$68)/1000)</f>
        <v>58.631036408791047</v>
      </c>
      <c r="N39" s="76">
        <f>N3*((Receitas!$B$66*Receitas!$B$67*$B$68)/1000)</f>
        <v>58.631036408791047</v>
      </c>
      <c r="O39" s="76">
        <f>O3*((Receitas!$B$66*Receitas!$B$67*$B$68)/1000)</f>
        <v>58.631036408791047</v>
      </c>
      <c r="P39" s="76">
        <f>P3*((Receitas!$B$66*Receitas!$B$67*$B$68)/1000)</f>
        <v>58.631036408791047</v>
      </c>
      <c r="Q39" s="76">
        <f>Q3*((Receitas!$B$66*Receitas!$B$67*$B$68)/1000)</f>
        <v>58.631036408791047</v>
      </c>
      <c r="R39" s="76">
        <f>R3*((Receitas!$B$66*Receitas!$B$67*$B$68)/1000)</f>
        <v>58.631036408791047</v>
      </c>
      <c r="S39" s="76">
        <f>S3*((Receitas!$B$66*Receitas!$B$67*$B$68)/1000)</f>
        <v>58.631036408791047</v>
      </c>
      <c r="T39" s="76">
        <f>T3*((Receitas!$B$66*Receitas!$B$67*$B$68)/1000)</f>
        <v>58.631036408791047</v>
      </c>
      <c r="U39" s="76">
        <f>U3*((Receitas!$B$66*Receitas!$B$67*$B$68)/1000)</f>
        <v>58.631036408791047</v>
      </c>
      <c r="V39" s="76">
        <f>V3*((Receitas!$B$66*Receitas!$B$67*$B$68)/1000)</f>
        <v>58.631036408791047</v>
      </c>
      <c r="W39" s="76">
        <f>W3*((Receitas!$B$66*Receitas!$B$67*$B$68)/1000)</f>
        <v>58.631036408791047</v>
      </c>
      <c r="X39" s="76">
        <f>X3*((Receitas!$B$66*Receitas!$B$67*$B$68)/1000)</f>
        <v>58.631036408791047</v>
      </c>
      <c r="Y39" s="76">
        <f>Y3*((Receitas!$B$66*Receitas!$B$67*$B$68)/1000)</f>
        <v>58.631036408791047</v>
      </c>
      <c r="Z39" s="76">
        <f>Z3*((Receitas!$B$66*Receitas!$B$67*$B$68)/1000)</f>
        <v>58.631036408791047</v>
      </c>
      <c r="AA39" s="76">
        <f>AA3*((Receitas!$B$66*Receitas!$B$67*$B$68)/1000)</f>
        <v>58.631036408791047</v>
      </c>
      <c r="AB39" s="76">
        <f>AB3*((Receitas!$B$66*Receitas!$B$67*$B$68)/1000)</f>
        <v>58.631036408791047</v>
      </c>
      <c r="AC39" s="76">
        <f>AC3*((Receitas!$B$66*Receitas!$B$67*$B$68)/1000)</f>
        <v>58.631036408791047</v>
      </c>
      <c r="AD39" s="76">
        <f>AD3*((Receitas!$B$66*Receitas!$B$67*$B$68)/1000)</f>
        <v>58.631036408791047</v>
      </c>
      <c r="AE39" s="76">
        <f>AE3*((Receitas!$B$66*Receitas!$B$67*$B$68)/1000)</f>
        <v>58.631036408791047</v>
      </c>
      <c r="AF39" s="76">
        <f>AF3*((Receitas!$B$66*Receitas!$B$67*$B$68)/1000)</f>
        <v>58.631036408791047</v>
      </c>
      <c r="AG39" s="76">
        <f>AG3*((Receitas!$B$66*Receitas!$B$67*$B$68)/1000)</f>
        <v>58.631036408791047</v>
      </c>
      <c r="AH39" s="76">
        <f>AH3*((Receitas!$B$66*Receitas!$B$67*$B$68)/1000)</f>
        <v>58.631036408791047</v>
      </c>
      <c r="AI39" s="299">
        <f>IF(Painel!$C$5&gt;=AI$2,AH39,0)</f>
        <v>0</v>
      </c>
      <c r="AJ39" s="299">
        <f>IF(Painel!$C$5&gt;=AJ$2,AI39,0)</f>
        <v>0</v>
      </c>
      <c r="AK39" s="299">
        <f>IF(Painel!$C$5&gt;=AK$2,AJ39,0)</f>
        <v>0</v>
      </c>
      <c r="AL39" s="299">
        <f>IF(Painel!$C$5&gt;=AL$2,AK39,0)</f>
        <v>0</v>
      </c>
      <c r="AM39" s="299">
        <f>IF(Painel!$C$5&gt;=AM$2,AL39,0)</f>
        <v>0</v>
      </c>
      <c r="AN39" s="299">
        <f>IF(Painel!$C$5&gt;=AN$2,AM39,0)</f>
        <v>0</v>
      </c>
    </row>
    <row r="40" spans="1:40" ht="12" customHeight="1">
      <c r="A40" s="64" t="s">
        <v>174</v>
      </c>
      <c r="B40" s="78" t="s">
        <v>16</v>
      </c>
      <c r="C40" s="78">
        <f>SUM(E40:AH40)</f>
        <v>399211.39091758244</v>
      </c>
      <c r="D40" s="581">
        <f>C40/C40</f>
        <v>1</v>
      </c>
      <c r="E40" s="78">
        <f t="shared" ref="E40:AN40" si="6">SUM(E32:E39)</f>
        <v>5630.9464927720746</v>
      </c>
      <c r="F40" s="78">
        <f t="shared" si="6"/>
        <v>9913.6889723625009</v>
      </c>
      <c r="G40" s="78">
        <f t="shared" si="6"/>
        <v>13250.627427234751</v>
      </c>
      <c r="H40" s="78">
        <f t="shared" si="6"/>
        <v>13283.112967897392</v>
      </c>
      <c r="I40" s="78">
        <f t="shared" si="6"/>
        <v>13315.708959398286</v>
      </c>
      <c r="J40" s="78">
        <f t="shared" si="6"/>
        <v>13348.415777270284</v>
      </c>
      <c r="K40" s="78">
        <f t="shared" si="6"/>
        <v>13381.233798323046</v>
      </c>
      <c r="L40" s="78">
        <f t="shared" si="6"/>
        <v>13414.163400647387</v>
      </c>
      <c r="M40" s="78">
        <f t="shared" si="6"/>
        <v>13447.20496361963</v>
      </c>
      <c r="N40" s="78">
        <f t="shared" si="6"/>
        <v>13480.358867905978</v>
      </c>
      <c r="O40" s="78">
        <f t="shared" si="6"/>
        <v>13513.625495466902</v>
      </c>
      <c r="P40" s="78">
        <f t="shared" si="6"/>
        <v>13547.005229561531</v>
      </c>
      <c r="Q40" s="78">
        <f t="shared" si="6"/>
        <v>13580.498454752083</v>
      </c>
      <c r="R40" s="78">
        <f t="shared" si="6"/>
        <v>13614.105556908286</v>
      </c>
      <c r="S40" s="78">
        <f t="shared" si="6"/>
        <v>13647.826923211813</v>
      </c>
      <c r="T40" s="78">
        <f t="shared" si="6"/>
        <v>13681.662942160776</v>
      </c>
      <c r="U40" s="78">
        <f t="shared" si="6"/>
        <v>13715.614003574166</v>
      </c>
      <c r="V40" s="78">
        <f t="shared" si="6"/>
        <v>13749.680498596363</v>
      </c>
      <c r="W40" s="78">
        <f t="shared" si="6"/>
        <v>13783.862819701633</v>
      </c>
      <c r="X40" s="78">
        <f t="shared" si="6"/>
        <v>13818.161360698658</v>
      </c>
      <c r="Y40" s="78">
        <f t="shared" si="6"/>
        <v>13852.576516735078</v>
      </c>
      <c r="Z40" s="78">
        <f t="shared" si="6"/>
        <v>13887.10868430202</v>
      </c>
      <c r="AA40" s="78">
        <f t="shared" si="6"/>
        <v>13921.758261238689</v>
      </c>
      <c r="AB40" s="78">
        <f t="shared" si="6"/>
        <v>13956.525646736944</v>
      </c>
      <c r="AC40" s="78">
        <f t="shared" si="6"/>
        <v>13991.41124134589</v>
      </c>
      <c r="AD40" s="78">
        <f t="shared" si="6"/>
        <v>14026.415446976511</v>
      </c>
      <c r="AE40" s="78">
        <f t="shared" si="6"/>
        <v>14061.538666906272</v>
      </c>
      <c r="AF40" s="78">
        <f t="shared" si="6"/>
        <v>14096.781305783796</v>
      </c>
      <c r="AG40" s="78">
        <f t="shared" si="6"/>
        <v>14132.1437696335</v>
      </c>
      <c r="AH40" s="78">
        <f t="shared" si="6"/>
        <v>14167.6264658603</v>
      </c>
      <c r="AI40" s="78">
        <f t="shared" si="6"/>
        <v>0</v>
      </c>
      <c r="AJ40" s="78">
        <f t="shared" si="6"/>
        <v>0</v>
      </c>
      <c r="AK40" s="78">
        <f t="shared" si="6"/>
        <v>0</v>
      </c>
      <c r="AL40" s="78">
        <f t="shared" si="6"/>
        <v>0</v>
      </c>
      <c r="AM40" s="78">
        <f t="shared" si="6"/>
        <v>0</v>
      </c>
      <c r="AN40" s="78">
        <f t="shared" si="6"/>
        <v>0</v>
      </c>
    </row>
    <row r="41" spans="1:40" ht="12" customHeight="1">
      <c r="A41" s="60"/>
      <c r="B41" s="60"/>
      <c r="C41" s="84">
        <f>C40/30</f>
        <v>13307.046363919415</v>
      </c>
      <c r="D41" s="582"/>
      <c r="E41" s="73"/>
      <c r="F41" s="60"/>
      <c r="G41" s="60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60"/>
    </row>
    <row r="42" spans="1:40" ht="12" customHeight="1">
      <c r="A42" s="74" t="s">
        <v>175</v>
      </c>
      <c r="B42" s="72"/>
      <c r="C42" s="84"/>
      <c r="D42" s="575"/>
      <c r="E42" s="73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</row>
    <row r="43" spans="1:40" ht="12" customHeight="1">
      <c r="A43" s="63" t="s">
        <v>26</v>
      </c>
      <c r="B43" s="72"/>
      <c r="C43" s="76">
        <f>SUM(E43:AJ43)</f>
        <v>1607.8602273988338</v>
      </c>
      <c r="D43" s="580">
        <f>C43/$C$51</f>
        <v>3.8176218537574252E-3</v>
      </c>
      <c r="E43" s="76">
        <f t="shared" ref="E43:AN43" si="7">E32*1.055</f>
        <v>22.501713002310499</v>
      </c>
      <c r="F43" s="76">
        <f t="shared" si="7"/>
        <v>39.63691322018952</v>
      </c>
      <c r="G43" s="76">
        <f t="shared" si="7"/>
        <v>53.00671237720087</v>
      </c>
      <c r="H43" s="76">
        <f t="shared" si="7"/>
        <v>53.164742609633365</v>
      </c>
      <c r="I43" s="76">
        <f t="shared" si="7"/>
        <v>53.32331014485613</v>
      </c>
      <c r="J43" s="76">
        <f t="shared" si="7"/>
        <v>53.482416809698641</v>
      </c>
      <c r="K43" s="76">
        <f t="shared" si="7"/>
        <v>53.642064437201611</v>
      </c>
      <c r="L43" s="76">
        <f t="shared" si="7"/>
        <v>53.802254866638108</v>
      </c>
      <c r="M43" s="76">
        <f t="shared" si="7"/>
        <v>53.96298994353468</v>
      </c>
      <c r="N43" s="76">
        <f t="shared" si="7"/>
        <v>54.124271519692698</v>
      </c>
      <c r="O43" s="76">
        <f t="shared" si="7"/>
        <v>54.28610145320966</v>
      </c>
      <c r="P43" s="76">
        <f t="shared" si="7"/>
        <v>54.448481608500572</v>
      </c>
      <c r="Q43" s="76">
        <f t="shared" si="7"/>
        <v>54.61141385631948</v>
      </c>
      <c r="R43" s="76">
        <f t="shared" si="7"/>
        <v>54.774900073780977</v>
      </c>
      <c r="S43" s="76">
        <f t="shared" si="7"/>
        <v>54.938942144381826</v>
      </c>
      <c r="T43" s="76">
        <f t="shared" si="7"/>
        <v>55.103541958022731</v>
      </c>
      <c r="U43" s="76">
        <f t="shared" si="7"/>
        <v>55.268701411030015</v>
      </c>
      <c r="V43" s="76">
        <f t="shared" si="7"/>
        <v>55.434422406177518</v>
      </c>
      <c r="W43" s="76">
        <f t="shared" si="7"/>
        <v>55.600706852708534</v>
      </c>
      <c r="X43" s="76">
        <f t="shared" si="7"/>
        <v>55.767556666357734</v>
      </c>
      <c r="Y43" s="76">
        <f t="shared" si="7"/>
        <v>55.934973769373364</v>
      </c>
      <c r="Z43" s="76">
        <f t="shared" si="7"/>
        <v>56.102960090539234</v>
      </c>
      <c r="AA43" s="76">
        <f t="shared" si="7"/>
        <v>56.271517565197065</v>
      </c>
      <c r="AB43" s="76">
        <f t="shared" si="7"/>
        <v>56.440648135268738</v>
      </c>
      <c r="AC43" s="76">
        <f t="shared" si="7"/>
        <v>56.610353749278659</v>
      </c>
      <c r="AD43" s="76">
        <f t="shared" si="7"/>
        <v>56.780636362376214</v>
      </c>
      <c r="AE43" s="76">
        <f t="shared" si="7"/>
        <v>56.951497936358287</v>
      </c>
      <c r="AF43" s="76">
        <f t="shared" si="7"/>
        <v>57.122940439691909</v>
      </c>
      <c r="AG43" s="76">
        <f t="shared" si="7"/>
        <v>57.294965847536858</v>
      </c>
      <c r="AH43" s="76">
        <f t="shared" si="7"/>
        <v>57.467576141768497</v>
      </c>
      <c r="AI43" s="76">
        <f t="shared" si="7"/>
        <v>0</v>
      </c>
      <c r="AJ43" s="76">
        <f t="shared" si="7"/>
        <v>0</v>
      </c>
      <c r="AK43" s="76">
        <f t="shared" si="7"/>
        <v>0</v>
      </c>
      <c r="AL43" s="76">
        <f t="shared" si="7"/>
        <v>0</v>
      </c>
      <c r="AM43" s="76">
        <f t="shared" si="7"/>
        <v>0</v>
      </c>
      <c r="AN43" s="76">
        <f t="shared" si="7"/>
        <v>0</v>
      </c>
    </row>
    <row r="44" spans="1:40" ht="12" customHeight="1">
      <c r="A44" s="63" t="s">
        <v>30</v>
      </c>
      <c r="B44" s="72"/>
      <c r="C44" s="76">
        <f t="shared" ref="C44:C50" si="8">SUM(E44:AJ44)</f>
        <v>38588.645457572013</v>
      </c>
      <c r="D44" s="580">
        <f t="shared" ref="D44:D50" si="9">C44/$C$51</f>
        <v>9.1622924490178212E-2</v>
      </c>
      <c r="E44" s="76">
        <f t="shared" ref="E44:AN44" si="10">E33*1.055</f>
        <v>540.041112055452</v>
      </c>
      <c r="F44" s="76">
        <f t="shared" si="10"/>
        <v>951.2859172845483</v>
      </c>
      <c r="G44" s="76">
        <f t="shared" si="10"/>
        <v>1272.1610970528211</v>
      </c>
      <c r="H44" s="76">
        <f t="shared" si="10"/>
        <v>1275.9538226312009</v>
      </c>
      <c r="I44" s="76">
        <f t="shared" si="10"/>
        <v>1279.7594434765469</v>
      </c>
      <c r="J44" s="76">
        <f t="shared" si="10"/>
        <v>1283.5780034327674</v>
      </c>
      <c r="K44" s="76">
        <f t="shared" si="10"/>
        <v>1287.4095464928387</v>
      </c>
      <c r="L44" s="76">
        <f t="shared" si="10"/>
        <v>1291.2541167993145</v>
      </c>
      <c r="M44" s="76">
        <f t="shared" si="10"/>
        <v>1295.1117586448324</v>
      </c>
      <c r="N44" s="76">
        <f t="shared" si="10"/>
        <v>1298.9825164726249</v>
      </c>
      <c r="O44" s="76">
        <f t="shared" si="10"/>
        <v>1302.8664348770319</v>
      </c>
      <c r="P44" s="76">
        <f t="shared" si="10"/>
        <v>1306.7635586040135</v>
      </c>
      <c r="Q44" s="76">
        <f t="shared" si="10"/>
        <v>1310.6739325516676</v>
      </c>
      <c r="R44" s="76">
        <f t="shared" si="10"/>
        <v>1314.5976017707433</v>
      </c>
      <c r="S44" s="76">
        <f t="shared" si="10"/>
        <v>1318.5346114651638</v>
      </c>
      <c r="T44" s="76">
        <f t="shared" si="10"/>
        <v>1322.4850069925453</v>
      </c>
      <c r="U44" s="76">
        <f t="shared" si="10"/>
        <v>1326.4488338647204</v>
      </c>
      <c r="V44" s="76">
        <f t="shared" si="10"/>
        <v>1330.4261377482603</v>
      </c>
      <c r="W44" s="76">
        <f t="shared" si="10"/>
        <v>1334.4169644650046</v>
      </c>
      <c r="X44" s="76">
        <f t="shared" si="10"/>
        <v>1338.4213599925856</v>
      </c>
      <c r="Y44" s="76">
        <f t="shared" si="10"/>
        <v>1342.4393704649606</v>
      </c>
      <c r="Z44" s="76">
        <f t="shared" si="10"/>
        <v>1346.4710421729417</v>
      </c>
      <c r="AA44" s="76">
        <f t="shared" si="10"/>
        <v>1350.5164215647296</v>
      </c>
      <c r="AB44" s="76">
        <f t="shared" si="10"/>
        <v>1354.5755552464498</v>
      </c>
      <c r="AC44" s="76">
        <f t="shared" si="10"/>
        <v>1358.6484899826876</v>
      </c>
      <c r="AD44" s="76">
        <f t="shared" si="10"/>
        <v>1362.7352726970291</v>
      </c>
      <c r="AE44" s="76">
        <f t="shared" si="10"/>
        <v>1366.8359504725986</v>
      </c>
      <c r="AF44" s="76">
        <f t="shared" si="10"/>
        <v>1370.950570552606</v>
      </c>
      <c r="AG44" s="76">
        <f t="shared" si="10"/>
        <v>1375.0791803408847</v>
      </c>
      <c r="AH44" s="76">
        <f t="shared" si="10"/>
        <v>1379.221827402444</v>
      </c>
      <c r="AI44" s="76">
        <f t="shared" si="10"/>
        <v>0</v>
      </c>
      <c r="AJ44" s="76">
        <f t="shared" si="10"/>
        <v>0</v>
      </c>
      <c r="AK44" s="76">
        <f t="shared" si="10"/>
        <v>0</v>
      </c>
      <c r="AL44" s="76">
        <f t="shared" si="10"/>
        <v>0</v>
      </c>
      <c r="AM44" s="76">
        <f t="shared" si="10"/>
        <v>0</v>
      </c>
      <c r="AN44" s="76">
        <f t="shared" si="10"/>
        <v>0</v>
      </c>
    </row>
    <row r="45" spans="1:40" ht="12" customHeight="1">
      <c r="A45" s="63" t="s">
        <v>168</v>
      </c>
      <c r="B45" s="72"/>
      <c r="C45" s="76">
        <f t="shared" si="8"/>
        <v>45277.344003551159</v>
      </c>
      <c r="D45" s="580">
        <f t="shared" si="9"/>
        <v>0.10750423140180911</v>
      </c>
      <c r="E45" s="76">
        <f t="shared" ref="E45:AN45" si="11">E34*1.055</f>
        <v>633.6482381450636</v>
      </c>
      <c r="F45" s="76">
        <f t="shared" si="11"/>
        <v>1116.1754762805367</v>
      </c>
      <c r="G45" s="76">
        <f t="shared" si="11"/>
        <v>1492.6690205419766</v>
      </c>
      <c r="H45" s="76">
        <f t="shared" si="11"/>
        <v>1497.1191518872754</v>
      </c>
      <c r="I45" s="76">
        <f t="shared" si="11"/>
        <v>1501.5844136791486</v>
      </c>
      <c r="J45" s="76">
        <f t="shared" si="11"/>
        <v>1506.0648573611136</v>
      </c>
      <c r="K45" s="76">
        <f t="shared" si="11"/>
        <v>1510.5605345515974</v>
      </c>
      <c r="L45" s="76">
        <f t="shared" si="11"/>
        <v>1515.0714970445292</v>
      </c>
      <c r="M45" s="76">
        <f t="shared" si="11"/>
        <v>1519.5977968099369</v>
      </c>
      <c r="N45" s="76">
        <f t="shared" si="11"/>
        <v>1524.1394859945462</v>
      </c>
      <c r="O45" s="76">
        <f t="shared" si="11"/>
        <v>1528.696616922384</v>
      </c>
      <c r="P45" s="76">
        <f t="shared" si="11"/>
        <v>1533.2692420953761</v>
      </c>
      <c r="Q45" s="76">
        <f t="shared" si="11"/>
        <v>1537.8574141939566</v>
      </c>
      <c r="R45" s="76">
        <f t="shared" si="11"/>
        <v>1542.4611860776722</v>
      </c>
      <c r="S45" s="76">
        <f t="shared" si="11"/>
        <v>1547.0806107857925</v>
      </c>
      <c r="T45" s="76">
        <f t="shared" si="11"/>
        <v>1551.7157415379199</v>
      </c>
      <c r="U45" s="76">
        <f t="shared" si="11"/>
        <v>1556.3666317346051</v>
      </c>
      <c r="V45" s="76">
        <f t="shared" si="11"/>
        <v>1561.0333349579589</v>
      </c>
      <c r="W45" s="76">
        <f t="shared" si="11"/>
        <v>1565.7159049722723</v>
      </c>
      <c r="X45" s="76">
        <f t="shared" si="11"/>
        <v>1570.4143957246336</v>
      </c>
      <c r="Y45" s="76">
        <f t="shared" si="11"/>
        <v>1575.128861345554</v>
      </c>
      <c r="Z45" s="76">
        <f t="shared" si="11"/>
        <v>1579.859356149585</v>
      </c>
      <c r="AA45" s="76">
        <f t="shared" si="11"/>
        <v>1584.6059346359496</v>
      </c>
      <c r="AB45" s="76">
        <f t="shared" si="11"/>
        <v>1589.3686514891676</v>
      </c>
      <c r="AC45" s="76">
        <f t="shared" si="11"/>
        <v>1594.1475615796867</v>
      </c>
      <c r="AD45" s="76">
        <f t="shared" si="11"/>
        <v>1598.9427199645143</v>
      </c>
      <c r="AE45" s="76">
        <f t="shared" si="11"/>
        <v>1603.7541818878494</v>
      </c>
      <c r="AF45" s="76">
        <f t="shared" si="11"/>
        <v>1608.5820027817242</v>
      </c>
      <c r="AG45" s="76">
        <f t="shared" si="11"/>
        <v>1613.4262382666377</v>
      </c>
      <c r="AH45" s="76">
        <f t="shared" si="11"/>
        <v>1618.2869441522007</v>
      </c>
      <c r="AI45" s="76">
        <f t="shared" si="11"/>
        <v>0</v>
      </c>
      <c r="AJ45" s="76">
        <f t="shared" si="11"/>
        <v>0</v>
      </c>
      <c r="AK45" s="76">
        <f t="shared" si="11"/>
        <v>0</v>
      </c>
      <c r="AL45" s="76">
        <f t="shared" si="11"/>
        <v>0</v>
      </c>
      <c r="AM45" s="76">
        <f t="shared" si="11"/>
        <v>0</v>
      </c>
      <c r="AN45" s="76">
        <f t="shared" si="11"/>
        <v>0</v>
      </c>
    </row>
    <row r="46" spans="1:40" ht="12" customHeight="1">
      <c r="A46" s="63" t="s">
        <v>169</v>
      </c>
      <c r="B46" s="72"/>
      <c r="C46" s="76">
        <f t="shared" si="8"/>
        <v>77356.484369631929</v>
      </c>
      <c r="D46" s="580">
        <f t="shared" si="9"/>
        <v>0.18367131683897123</v>
      </c>
      <c r="E46" s="76">
        <f t="shared" ref="E46:AN46" si="12">E35*1.055</f>
        <v>1082.5900040883353</v>
      </c>
      <c r="F46" s="76">
        <f t="shared" si="12"/>
        <v>1906.9893052447987</v>
      </c>
      <c r="G46" s="76">
        <f t="shared" si="12"/>
        <v>2550.2297075449678</v>
      </c>
      <c r="H46" s="76">
        <f t="shared" si="12"/>
        <v>2557.832770918747</v>
      </c>
      <c r="I46" s="76">
        <f t="shared" si="12"/>
        <v>2565.4616847079983</v>
      </c>
      <c r="J46" s="76">
        <f t="shared" si="12"/>
        <v>2573.1165368041316</v>
      </c>
      <c r="K46" s="76">
        <f t="shared" si="12"/>
        <v>2580.7974153973923</v>
      </c>
      <c r="L46" s="76">
        <f t="shared" si="12"/>
        <v>2588.5044089778703</v>
      </c>
      <c r="M46" s="76">
        <f t="shared" si="12"/>
        <v>2596.2376063365218</v>
      </c>
      <c r="N46" s="76">
        <f t="shared" si="12"/>
        <v>2603.9970965661923</v>
      </c>
      <c r="O46" s="76">
        <f t="shared" si="12"/>
        <v>2611.7829690626445</v>
      </c>
      <c r="P46" s="76">
        <f t="shared" si="12"/>
        <v>2619.5953135255836</v>
      </c>
      <c r="Q46" s="76">
        <f t="shared" si="12"/>
        <v>2627.4342199596981</v>
      </c>
      <c r="R46" s="76">
        <f t="shared" si="12"/>
        <v>2635.2997786756873</v>
      </c>
      <c r="S46" s="76">
        <f t="shared" si="12"/>
        <v>2643.1920802913114</v>
      </c>
      <c r="T46" s="76">
        <f t="shared" si="12"/>
        <v>2651.1112157324283</v>
      </c>
      <c r="U46" s="76">
        <f t="shared" si="12"/>
        <v>2659.0572762340453</v>
      </c>
      <c r="V46" s="76">
        <f t="shared" si="12"/>
        <v>2667.030353341368</v>
      </c>
      <c r="W46" s="76">
        <f t="shared" si="12"/>
        <v>2675.0305389108553</v>
      </c>
      <c r="X46" s="76">
        <f t="shared" si="12"/>
        <v>2683.0579251112781</v>
      </c>
      <c r="Y46" s="76">
        <f t="shared" si="12"/>
        <v>2691.112604424784</v>
      </c>
      <c r="Z46" s="76">
        <f t="shared" si="12"/>
        <v>2699.1946696479549</v>
      </c>
      <c r="AA46" s="76">
        <f t="shared" si="12"/>
        <v>2707.3042138928845</v>
      </c>
      <c r="AB46" s="76">
        <f t="shared" si="12"/>
        <v>2715.4413305882463</v>
      </c>
      <c r="AC46" s="76">
        <f t="shared" si="12"/>
        <v>2723.6061134803726</v>
      </c>
      <c r="AD46" s="76">
        <f t="shared" si="12"/>
        <v>2731.7986566343334</v>
      </c>
      <c r="AE46" s="76">
        <f t="shared" si="12"/>
        <v>2740.0190544350166</v>
      </c>
      <c r="AF46" s="76">
        <f t="shared" si="12"/>
        <v>2748.2674015882226</v>
      </c>
      <c r="AG46" s="76">
        <f t="shared" si="12"/>
        <v>2756.5437931217484</v>
      </c>
      <c r="AH46" s="76">
        <f t="shared" si="12"/>
        <v>2764.8483243864898</v>
      </c>
      <c r="AI46" s="76">
        <f t="shared" si="12"/>
        <v>0</v>
      </c>
      <c r="AJ46" s="76">
        <f t="shared" si="12"/>
        <v>0</v>
      </c>
      <c r="AK46" s="76">
        <f t="shared" si="12"/>
        <v>0</v>
      </c>
      <c r="AL46" s="76">
        <f t="shared" si="12"/>
        <v>0</v>
      </c>
      <c r="AM46" s="76">
        <f t="shared" si="12"/>
        <v>0</v>
      </c>
      <c r="AN46" s="76">
        <f t="shared" si="12"/>
        <v>0</v>
      </c>
    </row>
    <row r="47" spans="1:40" ht="12" customHeight="1">
      <c r="A47" s="63" t="s">
        <v>170</v>
      </c>
      <c r="B47" s="72"/>
      <c r="C47" s="76">
        <f t="shared" si="8"/>
        <v>136071.8313113841</v>
      </c>
      <c r="D47" s="580">
        <f t="shared" si="9"/>
        <v>0.32308206151446633</v>
      </c>
      <c r="E47" s="76">
        <f t="shared" ref="E47:AN47" si="13">E36*1.055</f>
        <v>1892.5749393178264</v>
      </c>
      <c r="F47" s="76">
        <f t="shared" si="13"/>
        <v>3335.1829471381939</v>
      </c>
      <c r="G47" s="76">
        <f t="shared" si="13"/>
        <v>4462.0300922112847</v>
      </c>
      <c r="H47" s="76">
        <f t="shared" si="13"/>
        <v>4477.2009945248028</v>
      </c>
      <c r="I47" s="76">
        <f t="shared" si="13"/>
        <v>4492.4234779061881</v>
      </c>
      <c r="J47" s="76">
        <f t="shared" si="13"/>
        <v>4507.6977177310691</v>
      </c>
      <c r="K47" s="76">
        <f t="shared" si="13"/>
        <v>4523.0238899713549</v>
      </c>
      <c r="L47" s="76">
        <f t="shared" si="13"/>
        <v>4538.4021711972582</v>
      </c>
      <c r="M47" s="76">
        <f t="shared" si="13"/>
        <v>4553.8327385793291</v>
      </c>
      <c r="N47" s="76">
        <f t="shared" si="13"/>
        <v>4569.3157698904988</v>
      </c>
      <c r="O47" s="76">
        <f t="shared" si="13"/>
        <v>4584.8514435081279</v>
      </c>
      <c r="P47" s="76">
        <f t="shared" si="13"/>
        <v>4600.4399384160552</v>
      </c>
      <c r="Q47" s="76">
        <f t="shared" si="13"/>
        <v>4616.0814342066706</v>
      </c>
      <c r="R47" s="76">
        <f t="shared" si="13"/>
        <v>4631.7761110829733</v>
      </c>
      <c r="S47" s="76">
        <f t="shared" si="13"/>
        <v>4647.5241498606556</v>
      </c>
      <c r="T47" s="76">
        <f t="shared" si="13"/>
        <v>4663.3257319701825</v>
      </c>
      <c r="U47" s="76">
        <f t="shared" si="13"/>
        <v>4679.1810394588811</v>
      </c>
      <c r="V47" s="76">
        <f t="shared" si="13"/>
        <v>4695.0902549930424</v>
      </c>
      <c r="W47" s="76">
        <f t="shared" si="13"/>
        <v>4711.0535618600188</v>
      </c>
      <c r="X47" s="76">
        <f t="shared" si="13"/>
        <v>4727.0711439703427</v>
      </c>
      <c r="Y47" s="76">
        <f t="shared" si="13"/>
        <v>4743.1431858598426</v>
      </c>
      <c r="Z47" s="76">
        <f t="shared" si="13"/>
        <v>4759.2698726917661</v>
      </c>
      <c r="AA47" s="76">
        <f t="shared" si="13"/>
        <v>4775.4513902589188</v>
      </c>
      <c r="AB47" s="76">
        <f t="shared" si="13"/>
        <v>4791.6879249857993</v>
      </c>
      <c r="AC47" s="76">
        <f t="shared" si="13"/>
        <v>4807.9796639307506</v>
      </c>
      <c r="AD47" s="76">
        <f t="shared" si="13"/>
        <v>4824.3267947881159</v>
      </c>
      <c r="AE47" s="76">
        <f t="shared" si="13"/>
        <v>4840.7295058903965</v>
      </c>
      <c r="AF47" s="76">
        <f t="shared" si="13"/>
        <v>4857.1879862104233</v>
      </c>
      <c r="AG47" s="76">
        <f t="shared" si="13"/>
        <v>4873.7024253635382</v>
      </c>
      <c r="AH47" s="76">
        <f t="shared" si="13"/>
        <v>4890.2730136097753</v>
      </c>
      <c r="AI47" s="76">
        <f t="shared" si="13"/>
        <v>0</v>
      </c>
      <c r="AJ47" s="76">
        <f t="shared" si="13"/>
        <v>0</v>
      </c>
      <c r="AK47" s="76">
        <f t="shared" si="13"/>
        <v>0</v>
      </c>
      <c r="AL47" s="76">
        <f t="shared" si="13"/>
        <v>0</v>
      </c>
      <c r="AM47" s="76">
        <f t="shared" si="13"/>
        <v>0</v>
      </c>
      <c r="AN47" s="76">
        <f t="shared" si="13"/>
        <v>0</v>
      </c>
    </row>
    <row r="48" spans="1:40" ht="12" customHeight="1">
      <c r="A48" s="63" t="s">
        <v>171</v>
      </c>
      <c r="B48" s="72"/>
      <c r="C48" s="76">
        <f t="shared" si="8"/>
        <v>77366.596125102384</v>
      </c>
      <c r="D48" s="580">
        <f t="shared" si="9"/>
        <v>0.18369532567879826</v>
      </c>
      <c r="E48" s="76">
        <f t="shared" ref="E48:AN48" si="14">E37*1.055</f>
        <v>1112.1392429305479</v>
      </c>
      <c r="F48" s="76">
        <f t="shared" si="14"/>
        <v>1955.5294991157143</v>
      </c>
      <c r="G48" s="76">
        <f t="shared" si="14"/>
        <v>2610.459562593137</v>
      </c>
      <c r="H48" s="76">
        <f t="shared" si="14"/>
        <v>2613.5569551488138</v>
      </c>
      <c r="I48" s="76">
        <f t="shared" si="14"/>
        <v>2616.664878839179</v>
      </c>
      <c r="J48" s="76">
        <f t="shared" si="14"/>
        <v>2619.783369470093</v>
      </c>
      <c r="K48" s="76">
        <f t="shared" si="14"/>
        <v>2622.912462969151</v>
      </c>
      <c r="L48" s="76">
        <f t="shared" si="14"/>
        <v>2626.0521953861071</v>
      </c>
      <c r="M48" s="76">
        <f t="shared" si="14"/>
        <v>2629.2026028932796</v>
      </c>
      <c r="N48" s="76">
        <f t="shared" si="14"/>
        <v>2632.3637217859764</v>
      </c>
      <c r="O48" s="76">
        <f t="shared" si="14"/>
        <v>2635.5355884829091</v>
      </c>
      <c r="P48" s="76">
        <f t="shared" si="14"/>
        <v>2638.7182395266104</v>
      </c>
      <c r="Q48" s="76">
        <f t="shared" si="14"/>
        <v>2641.9117115838617</v>
      </c>
      <c r="R48" s="76">
        <f t="shared" si="14"/>
        <v>2645.1160414461065</v>
      </c>
      <c r="S48" s="76">
        <f t="shared" si="14"/>
        <v>2648.331266029883</v>
      </c>
      <c r="T48" s="76">
        <f t="shared" si="14"/>
        <v>2651.5574223772451</v>
      </c>
      <c r="U48" s="76">
        <f t="shared" si="14"/>
        <v>2654.7945476561877</v>
      </c>
      <c r="V48" s="76">
        <f t="shared" si="14"/>
        <v>2658.0426791610794</v>
      </c>
      <c r="W48" s="76">
        <f t="shared" si="14"/>
        <v>2661.3018543130866</v>
      </c>
      <c r="X48" s="76">
        <f t="shared" si="14"/>
        <v>2664.5721106606111</v>
      </c>
      <c r="Y48" s="76">
        <f t="shared" si="14"/>
        <v>2667.8534858797175</v>
      </c>
      <c r="Z48" s="76">
        <f t="shared" si="14"/>
        <v>2671.1460177745689</v>
      </c>
      <c r="AA48" s="76">
        <f t="shared" si="14"/>
        <v>2674.4497442778616</v>
      </c>
      <c r="AB48" s="76">
        <f t="shared" si="14"/>
        <v>2677.7647034512675</v>
      </c>
      <c r="AC48" s="76">
        <f t="shared" si="14"/>
        <v>2681.0909334858611</v>
      </c>
      <c r="AD48" s="76">
        <f t="shared" si="14"/>
        <v>2684.4284727025733</v>
      </c>
      <c r="AE48" s="76">
        <f t="shared" si="14"/>
        <v>2687.7773595526219</v>
      </c>
      <c r="AF48" s="76">
        <f t="shared" si="14"/>
        <v>2691.1376326179607</v>
      </c>
      <c r="AG48" s="76">
        <f t="shared" si="14"/>
        <v>2694.5093306117219</v>
      </c>
      <c r="AH48" s="76">
        <f t="shared" si="14"/>
        <v>2697.8924923786612</v>
      </c>
      <c r="AI48" s="76">
        <f t="shared" si="14"/>
        <v>0</v>
      </c>
      <c r="AJ48" s="76">
        <f t="shared" si="14"/>
        <v>0</v>
      </c>
      <c r="AK48" s="76">
        <f t="shared" si="14"/>
        <v>0</v>
      </c>
      <c r="AL48" s="76">
        <f t="shared" si="14"/>
        <v>0</v>
      </c>
      <c r="AM48" s="76">
        <f t="shared" si="14"/>
        <v>0</v>
      </c>
      <c r="AN48" s="76">
        <f t="shared" si="14"/>
        <v>0</v>
      </c>
    </row>
    <row r="49" spans="1:40" ht="12" customHeight="1">
      <c r="A49" s="63" t="s">
        <v>172</v>
      </c>
      <c r="B49" s="72"/>
      <c r="C49" s="76">
        <f t="shared" si="8"/>
        <v>43094.488409854574</v>
      </c>
      <c r="D49" s="580">
        <f t="shared" si="9"/>
        <v>0.10232136968529397</v>
      </c>
      <c r="E49" s="76">
        <f t="shared" ref="E49:AN49" si="15">E38*1.055</f>
        <v>630.7384098545698</v>
      </c>
      <c r="F49" s="76">
        <f t="shared" si="15"/>
        <v>1107.75</v>
      </c>
      <c r="G49" s="76">
        <f t="shared" si="15"/>
        <v>1477</v>
      </c>
      <c r="H49" s="76">
        <f t="shared" si="15"/>
        <v>1477</v>
      </c>
      <c r="I49" s="76">
        <f t="shared" si="15"/>
        <v>1477</v>
      </c>
      <c r="J49" s="76">
        <f t="shared" si="15"/>
        <v>1477</v>
      </c>
      <c r="K49" s="76">
        <f t="shared" si="15"/>
        <v>1477</v>
      </c>
      <c r="L49" s="76">
        <f t="shared" si="15"/>
        <v>1477</v>
      </c>
      <c r="M49" s="76">
        <f t="shared" si="15"/>
        <v>1477</v>
      </c>
      <c r="N49" s="76">
        <f t="shared" si="15"/>
        <v>1477</v>
      </c>
      <c r="O49" s="76">
        <f t="shared" si="15"/>
        <v>1477</v>
      </c>
      <c r="P49" s="76">
        <f t="shared" si="15"/>
        <v>1477</v>
      </c>
      <c r="Q49" s="76">
        <f t="shared" si="15"/>
        <v>1477</v>
      </c>
      <c r="R49" s="76">
        <f t="shared" si="15"/>
        <v>1477</v>
      </c>
      <c r="S49" s="76">
        <f t="shared" si="15"/>
        <v>1477</v>
      </c>
      <c r="T49" s="76">
        <f t="shared" si="15"/>
        <v>1477</v>
      </c>
      <c r="U49" s="76">
        <f t="shared" si="15"/>
        <v>1477</v>
      </c>
      <c r="V49" s="76">
        <f t="shared" si="15"/>
        <v>1477</v>
      </c>
      <c r="W49" s="76">
        <f t="shared" si="15"/>
        <v>1477</v>
      </c>
      <c r="X49" s="76">
        <f t="shared" si="15"/>
        <v>1477</v>
      </c>
      <c r="Y49" s="76">
        <f t="shared" si="15"/>
        <v>1477</v>
      </c>
      <c r="Z49" s="76">
        <f t="shared" si="15"/>
        <v>1477</v>
      </c>
      <c r="AA49" s="76">
        <f t="shared" si="15"/>
        <v>1477</v>
      </c>
      <c r="AB49" s="76">
        <f t="shared" si="15"/>
        <v>1477</v>
      </c>
      <c r="AC49" s="76">
        <f t="shared" si="15"/>
        <v>1477</v>
      </c>
      <c r="AD49" s="76">
        <f t="shared" si="15"/>
        <v>1477</v>
      </c>
      <c r="AE49" s="76">
        <f t="shared" si="15"/>
        <v>1477</v>
      </c>
      <c r="AF49" s="76">
        <f t="shared" si="15"/>
        <v>1477</v>
      </c>
      <c r="AG49" s="76">
        <f t="shared" si="15"/>
        <v>1477</v>
      </c>
      <c r="AH49" s="76">
        <f t="shared" si="15"/>
        <v>1477</v>
      </c>
      <c r="AI49" s="76">
        <f t="shared" si="15"/>
        <v>0</v>
      </c>
      <c r="AJ49" s="76">
        <f t="shared" si="15"/>
        <v>0</v>
      </c>
      <c r="AK49" s="76">
        <f t="shared" si="15"/>
        <v>0</v>
      </c>
      <c r="AL49" s="76">
        <f t="shared" si="15"/>
        <v>0</v>
      </c>
      <c r="AM49" s="76">
        <f t="shared" si="15"/>
        <v>0</v>
      </c>
      <c r="AN49" s="76">
        <f t="shared" si="15"/>
        <v>0</v>
      </c>
    </row>
    <row r="50" spans="1:40" ht="12" customHeight="1">
      <c r="A50" s="63" t="s">
        <v>173</v>
      </c>
      <c r="B50" s="72"/>
      <c r="C50" s="76">
        <f t="shared" si="8"/>
        <v>1804.767513554576</v>
      </c>
      <c r="D50" s="580">
        <f t="shared" si="9"/>
        <v>4.2851485367255979E-3</v>
      </c>
      <c r="E50" s="76">
        <f t="shared" ref="E50:AN50" si="16">E39*1.055</f>
        <v>26.414890480433034</v>
      </c>
      <c r="F50" s="76">
        <f t="shared" si="16"/>
        <v>46.391807558455916</v>
      </c>
      <c r="G50" s="76">
        <f t="shared" si="16"/>
        <v>61.855743411274553</v>
      </c>
      <c r="H50" s="76">
        <f t="shared" si="16"/>
        <v>61.855743411274553</v>
      </c>
      <c r="I50" s="76">
        <f t="shared" si="16"/>
        <v>61.855743411274553</v>
      </c>
      <c r="J50" s="76">
        <f t="shared" si="16"/>
        <v>61.855743411274553</v>
      </c>
      <c r="K50" s="76">
        <f t="shared" si="16"/>
        <v>61.855743411274553</v>
      </c>
      <c r="L50" s="76">
        <f t="shared" si="16"/>
        <v>61.855743411274553</v>
      </c>
      <c r="M50" s="76">
        <f t="shared" si="16"/>
        <v>61.855743411274553</v>
      </c>
      <c r="N50" s="76">
        <f t="shared" si="16"/>
        <v>61.855743411274553</v>
      </c>
      <c r="O50" s="76">
        <f t="shared" si="16"/>
        <v>61.855743411274553</v>
      </c>
      <c r="P50" s="76">
        <f t="shared" si="16"/>
        <v>61.855743411274553</v>
      </c>
      <c r="Q50" s="76">
        <f t="shared" si="16"/>
        <v>61.855743411274553</v>
      </c>
      <c r="R50" s="76">
        <f t="shared" si="16"/>
        <v>61.855743411274553</v>
      </c>
      <c r="S50" s="76">
        <f t="shared" si="16"/>
        <v>61.855743411274553</v>
      </c>
      <c r="T50" s="76">
        <f t="shared" si="16"/>
        <v>61.855743411274553</v>
      </c>
      <c r="U50" s="76">
        <f t="shared" si="16"/>
        <v>61.855743411274553</v>
      </c>
      <c r="V50" s="76">
        <f t="shared" si="16"/>
        <v>61.855743411274553</v>
      </c>
      <c r="W50" s="76">
        <f t="shared" si="16"/>
        <v>61.855743411274553</v>
      </c>
      <c r="X50" s="76">
        <f t="shared" si="16"/>
        <v>61.855743411274553</v>
      </c>
      <c r="Y50" s="76">
        <f t="shared" si="16"/>
        <v>61.855743411274553</v>
      </c>
      <c r="Z50" s="76">
        <f t="shared" si="16"/>
        <v>61.855743411274553</v>
      </c>
      <c r="AA50" s="76">
        <f t="shared" si="16"/>
        <v>61.855743411274553</v>
      </c>
      <c r="AB50" s="76">
        <f t="shared" si="16"/>
        <v>61.855743411274553</v>
      </c>
      <c r="AC50" s="76">
        <f t="shared" si="16"/>
        <v>61.855743411274553</v>
      </c>
      <c r="AD50" s="76">
        <f t="shared" si="16"/>
        <v>61.855743411274553</v>
      </c>
      <c r="AE50" s="76">
        <f t="shared" si="16"/>
        <v>61.855743411274553</v>
      </c>
      <c r="AF50" s="76">
        <f t="shared" si="16"/>
        <v>61.855743411274553</v>
      </c>
      <c r="AG50" s="76">
        <f t="shared" si="16"/>
        <v>61.855743411274553</v>
      </c>
      <c r="AH50" s="76">
        <f t="shared" si="16"/>
        <v>61.855743411274553</v>
      </c>
      <c r="AI50" s="76">
        <f t="shared" si="16"/>
        <v>0</v>
      </c>
      <c r="AJ50" s="76">
        <f t="shared" si="16"/>
        <v>0</v>
      </c>
      <c r="AK50" s="76">
        <f t="shared" si="16"/>
        <v>0</v>
      </c>
      <c r="AL50" s="76">
        <f t="shared" si="16"/>
        <v>0</v>
      </c>
      <c r="AM50" s="76">
        <f t="shared" si="16"/>
        <v>0</v>
      </c>
      <c r="AN50" s="76">
        <f t="shared" si="16"/>
        <v>0</v>
      </c>
    </row>
    <row r="51" spans="1:40" ht="12" customHeight="1">
      <c r="A51" s="64" t="s">
        <v>174</v>
      </c>
      <c r="B51" s="78" t="s">
        <v>16</v>
      </c>
      <c r="C51" s="78">
        <f>SUM(E51:AJ51)</f>
        <v>421168.01741804951</v>
      </c>
      <c r="D51" s="581">
        <f>C51/C51</f>
        <v>1</v>
      </c>
      <c r="E51" s="78">
        <f t="shared" ref="E51:AN51" si="17">SUM(E43:E50)</f>
        <v>5940.6485498745387</v>
      </c>
      <c r="F51" s="78">
        <f t="shared" si="17"/>
        <v>10458.941865842437</v>
      </c>
      <c r="G51" s="78">
        <f t="shared" si="17"/>
        <v>13979.411935732662</v>
      </c>
      <c r="H51" s="78">
        <f t="shared" si="17"/>
        <v>14013.684181131748</v>
      </c>
      <c r="I51" s="78">
        <f t="shared" si="17"/>
        <v>14048.072952165194</v>
      </c>
      <c r="J51" s="78">
        <f t="shared" si="17"/>
        <v>14082.578645020149</v>
      </c>
      <c r="K51" s="78">
        <f t="shared" si="17"/>
        <v>14117.201657230811</v>
      </c>
      <c r="L51" s="78">
        <f t="shared" si="17"/>
        <v>14151.942387682991</v>
      </c>
      <c r="M51" s="78">
        <f t="shared" si="17"/>
        <v>14186.80123661871</v>
      </c>
      <c r="N51" s="78">
        <f t="shared" si="17"/>
        <v>14221.778605640806</v>
      </c>
      <c r="O51" s="78">
        <f t="shared" si="17"/>
        <v>14256.874897717582</v>
      </c>
      <c r="P51" s="78">
        <f t="shared" si="17"/>
        <v>14292.090517187415</v>
      </c>
      <c r="Q51" s="78">
        <f t="shared" si="17"/>
        <v>14327.42586976345</v>
      </c>
      <c r="R51" s="78">
        <f t="shared" si="17"/>
        <v>14362.881362538239</v>
      </c>
      <c r="S51" s="78">
        <f t="shared" si="17"/>
        <v>14398.457403988465</v>
      </c>
      <c r="T51" s="78">
        <f t="shared" si="17"/>
        <v>14434.154403979619</v>
      </c>
      <c r="U51" s="78">
        <f t="shared" si="17"/>
        <v>14469.972773770745</v>
      </c>
      <c r="V51" s="78">
        <f t="shared" si="17"/>
        <v>14505.912926019162</v>
      </c>
      <c r="W51" s="78">
        <f t="shared" si="17"/>
        <v>14541.97527478522</v>
      </c>
      <c r="X51" s="78">
        <f t="shared" si="17"/>
        <v>14578.160235537083</v>
      </c>
      <c r="Y51" s="78">
        <f t="shared" si="17"/>
        <v>14614.468225155508</v>
      </c>
      <c r="Z51" s="78">
        <f t="shared" si="17"/>
        <v>14650.899661938631</v>
      </c>
      <c r="AA51" s="78">
        <f t="shared" si="17"/>
        <v>14687.454965606816</v>
      </c>
      <c r="AB51" s="78">
        <f t="shared" si="17"/>
        <v>14724.134557307474</v>
      </c>
      <c r="AC51" s="78">
        <f t="shared" si="17"/>
        <v>14760.938859619913</v>
      </c>
      <c r="AD51" s="78">
        <f t="shared" si="17"/>
        <v>14797.868296560218</v>
      </c>
      <c r="AE51" s="78">
        <f t="shared" si="17"/>
        <v>14834.923293586116</v>
      </c>
      <c r="AF51" s="78">
        <f t="shared" si="17"/>
        <v>14872.104277601904</v>
      </c>
      <c r="AG51" s="78">
        <f t="shared" si="17"/>
        <v>14909.411676963344</v>
      </c>
      <c r="AH51" s="78">
        <f t="shared" si="17"/>
        <v>14946.845921482616</v>
      </c>
      <c r="AI51" s="78">
        <f t="shared" si="17"/>
        <v>0</v>
      </c>
      <c r="AJ51" s="78">
        <f t="shared" si="17"/>
        <v>0</v>
      </c>
      <c r="AK51" s="78">
        <f t="shared" si="17"/>
        <v>0</v>
      </c>
      <c r="AL51" s="78">
        <f t="shared" si="17"/>
        <v>0</v>
      </c>
      <c r="AM51" s="78">
        <f t="shared" si="17"/>
        <v>0</v>
      </c>
      <c r="AN51" s="78">
        <f t="shared" si="17"/>
        <v>0</v>
      </c>
    </row>
    <row r="52" spans="1:40" ht="12" customHeight="1">
      <c r="A52" s="60"/>
      <c r="B52" s="60"/>
      <c r="C52" s="60"/>
      <c r="D52" s="575"/>
      <c r="E52" s="73"/>
      <c r="F52" s="60"/>
      <c r="G52" s="60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60"/>
    </row>
    <row r="53" spans="1:40" ht="12" customHeight="1">
      <c r="A53" s="74" t="s">
        <v>176</v>
      </c>
      <c r="B53" s="72"/>
      <c r="C53" s="60"/>
      <c r="D53" s="575"/>
      <c r="E53" s="73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</row>
    <row r="54" spans="1:40" ht="12" customHeight="1">
      <c r="A54" s="63" t="s">
        <v>26</v>
      </c>
      <c r="B54" s="72"/>
      <c r="C54" s="76">
        <f>SUM(E54:AJ54)</f>
        <v>1386.8746985146342</v>
      </c>
      <c r="D54" s="580">
        <f>C54/$C$62</f>
        <v>3.8176218537574265E-3</v>
      </c>
      <c r="E54" s="76">
        <f t="shared" ref="E54:AN54" si="18">E32*0.91</f>
        <v>19.409060504362614</v>
      </c>
      <c r="F54" s="76">
        <f t="shared" si="18"/>
        <v>34.189185810779591</v>
      </c>
      <c r="G54" s="76">
        <f t="shared" si="18"/>
        <v>45.721429633414978</v>
      </c>
      <c r="H54" s="76">
        <f t="shared" si="18"/>
        <v>45.857740070868594</v>
      </c>
      <c r="I54" s="76">
        <f t="shared" si="18"/>
        <v>45.99451396380956</v>
      </c>
      <c r="J54" s="76">
        <f t="shared" si="18"/>
        <v>46.131752887986508</v>
      </c>
      <c r="K54" s="76">
        <f t="shared" si="18"/>
        <v>46.269458424505665</v>
      </c>
      <c r="L54" s="76">
        <f t="shared" si="18"/>
        <v>46.407632159848994</v>
      </c>
      <c r="M54" s="76">
        <f t="shared" si="18"/>
        <v>46.546275685892475</v>
      </c>
      <c r="N54" s="76">
        <f t="shared" si="18"/>
        <v>46.68539059992451</v>
      </c>
      <c r="O54" s="76">
        <f t="shared" si="18"/>
        <v>46.824978504664259</v>
      </c>
      <c r="P54" s="76">
        <f t="shared" si="18"/>
        <v>46.965041008280117</v>
      </c>
      <c r="Q54" s="76">
        <f t="shared" si="18"/>
        <v>47.105579724408273</v>
      </c>
      <c r="R54" s="76">
        <f t="shared" si="18"/>
        <v>47.246596272171274</v>
      </c>
      <c r="S54" s="76">
        <f t="shared" si="18"/>
        <v>47.388092276196652</v>
      </c>
      <c r="T54" s="76">
        <f t="shared" si="18"/>
        <v>47.530069366635722</v>
      </c>
      <c r="U54" s="76">
        <f t="shared" si="18"/>
        <v>47.672529179182291</v>
      </c>
      <c r="V54" s="76">
        <f t="shared" si="18"/>
        <v>47.815473355091513</v>
      </c>
      <c r="W54" s="76">
        <f t="shared" si="18"/>
        <v>47.958903541198836</v>
      </c>
      <c r="X54" s="76">
        <f t="shared" si="18"/>
        <v>48.102821389938903</v>
      </c>
      <c r="Y54" s="76">
        <f t="shared" si="18"/>
        <v>48.247228559364707</v>
      </c>
      <c r="Z54" s="76">
        <f t="shared" si="18"/>
        <v>48.392126713166547</v>
      </c>
      <c r="AA54" s="76">
        <f t="shared" si="18"/>
        <v>48.53751752069131</v>
      </c>
      <c r="AB54" s="76">
        <f t="shared" si="18"/>
        <v>48.683402656961661</v>
      </c>
      <c r="AC54" s="76">
        <f t="shared" si="18"/>
        <v>48.829783802695339</v>
      </c>
      <c r="AD54" s="76">
        <f t="shared" si="18"/>
        <v>48.976662644324506</v>
      </c>
      <c r="AE54" s="76">
        <f t="shared" si="18"/>
        <v>49.124040874015208</v>
      </c>
      <c r="AF54" s="76">
        <f t="shared" si="18"/>
        <v>49.271920189686867</v>
      </c>
      <c r="AG54" s="76">
        <f t="shared" si="18"/>
        <v>49.420302295031796</v>
      </c>
      <c r="AH54" s="76">
        <f t="shared" si="18"/>
        <v>49.569188899534915</v>
      </c>
      <c r="AI54" s="76">
        <f t="shared" si="18"/>
        <v>0</v>
      </c>
      <c r="AJ54" s="76">
        <f t="shared" si="18"/>
        <v>0</v>
      </c>
      <c r="AK54" s="76">
        <f t="shared" si="18"/>
        <v>0</v>
      </c>
      <c r="AL54" s="76">
        <f t="shared" si="18"/>
        <v>0</v>
      </c>
      <c r="AM54" s="76">
        <f t="shared" si="18"/>
        <v>0</v>
      </c>
      <c r="AN54" s="76">
        <f t="shared" si="18"/>
        <v>0</v>
      </c>
    </row>
    <row r="55" spans="1:40" ht="12" customHeight="1">
      <c r="A55" s="63" t="s">
        <v>30</v>
      </c>
      <c r="B55" s="72"/>
      <c r="C55" s="76">
        <f t="shared" ref="C55:C61" si="19">SUM(E55:AJ55)</f>
        <v>33284.99276435122</v>
      </c>
      <c r="D55" s="580">
        <f t="shared" ref="D55:D62" si="20">C55/$C$62</f>
        <v>9.1622924490178226E-2</v>
      </c>
      <c r="E55" s="76">
        <f t="shared" ref="E55:AN55" si="21">E33*0.91</f>
        <v>465.81745210470274</v>
      </c>
      <c r="F55" s="76">
        <f t="shared" si="21"/>
        <v>820.54045945870996</v>
      </c>
      <c r="G55" s="76">
        <f t="shared" si="21"/>
        <v>1097.3143112019595</v>
      </c>
      <c r="H55" s="76">
        <f t="shared" si="21"/>
        <v>1100.5857617008462</v>
      </c>
      <c r="I55" s="76">
        <f t="shared" si="21"/>
        <v>1103.8683351314294</v>
      </c>
      <c r="J55" s="76">
        <f t="shared" si="21"/>
        <v>1107.1620693116763</v>
      </c>
      <c r="K55" s="76">
        <f t="shared" si="21"/>
        <v>1110.4670021881359</v>
      </c>
      <c r="L55" s="76">
        <f t="shared" si="21"/>
        <v>1113.7831718363757</v>
      </c>
      <c r="M55" s="76">
        <f t="shared" si="21"/>
        <v>1117.1106164614196</v>
      </c>
      <c r="N55" s="76">
        <f t="shared" si="21"/>
        <v>1120.4493743981884</v>
      </c>
      <c r="O55" s="76">
        <f t="shared" si="21"/>
        <v>1123.7994841119423</v>
      </c>
      <c r="P55" s="76">
        <f t="shared" si="21"/>
        <v>1127.1609841987226</v>
      </c>
      <c r="Q55" s="76">
        <f t="shared" si="21"/>
        <v>1130.5339133857985</v>
      </c>
      <c r="R55" s="76">
        <f t="shared" si="21"/>
        <v>1133.9183105321104</v>
      </c>
      <c r="S55" s="76">
        <f t="shared" si="21"/>
        <v>1137.3142146287196</v>
      </c>
      <c r="T55" s="76">
        <f t="shared" si="21"/>
        <v>1140.7216647992573</v>
      </c>
      <c r="U55" s="76">
        <f t="shared" si="21"/>
        <v>1144.1407003003751</v>
      </c>
      <c r="V55" s="76">
        <f t="shared" si="21"/>
        <v>1147.5713605221963</v>
      </c>
      <c r="W55" s="76">
        <f t="shared" si="21"/>
        <v>1151.013684988772</v>
      </c>
      <c r="X55" s="76">
        <f t="shared" si="21"/>
        <v>1154.4677133585337</v>
      </c>
      <c r="Y55" s="76">
        <f t="shared" si="21"/>
        <v>1157.9334854247529</v>
      </c>
      <c r="Z55" s="76">
        <f t="shared" si="21"/>
        <v>1161.4110411159973</v>
      </c>
      <c r="AA55" s="76">
        <f t="shared" si="21"/>
        <v>1164.9004204965916</v>
      </c>
      <c r="AB55" s="76">
        <f t="shared" si="21"/>
        <v>1168.40166376708</v>
      </c>
      <c r="AC55" s="76">
        <f t="shared" si="21"/>
        <v>1171.9148112646881</v>
      </c>
      <c r="AD55" s="76">
        <f t="shared" si="21"/>
        <v>1175.4399034637881</v>
      </c>
      <c r="AE55" s="76">
        <f t="shared" si="21"/>
        <v>1178.9769809763648</v>
      </c>
      <c r="AF55" s="76">
        <f t="shared" si="21"/>
        <v>1182.5260845524849</v>
      </c>
      <c r="AG55" s="76">
        <f t="shared" si="21"/>
        <v>1186.0872550807633</v>
      </c>
      <c r="AH55" s="76">
        <f t="shared" si="21"/>
        <v>1189.660533588838</v>
      </c>
      <c r="AI55" s="76">
        <f t="shared" si="21"/>
        <v>0</v>
      </c>
      <c r="AJ55" s="76">
        <f t="shared" si="21"/>
        <v>0</v>
      </c>
      <c r="AK55" s="76">
        <f t="shared" si="21"/>
        <v>0</v>
      </c>
      <c r="AL55" s="76">
        <f t="shared" si="21"/>
        <v>0</v>
      </c>
      <c r="AM55" s="76">
        <f t="shared" si="21"/>
        <v>0</v>
      </c>
      <c r="AN55" s="76">
        <f t="shared" si="21"/>
        <v>0</v>
      </c>
    </row>
    <row r="56" spans="1:40" ht="12" customHeight="1">
      <c r="A56" s="63" t="s">
        <v>168</v>
      </c>
      <c r="B56" s="72"/>
      <c r="C56" s="76">
        <f t="shared" si="19"/>
        <v>39054.391510172092</v>
      </c>
      <c r="D56" s="580">
        <f t="shared" si="20"/>
        <v>0.10750423140180911</v>
      </c>
      <c r="E56" s="76">
        <f t="shared" ref="E56:AN56" si="22">E34*0.91</f>
        <v>546.55914380285117</v>
      </c>
      <c r="F56" s="76">
        <f t="shared" si="22"/>
        <v>962.76747243155307</v>
      </c>
      <c r="G56" s="76">
        <f t="shared" si="22"/>
        <v>1287.5154584769657</v>
      </c>
      <c r="H56" s="76">
        <f t="shared" si="22"/>
        <v>1291.3539603956594</v>
      </c>
      <c r="I56" s="76">
        <f t="shared" si="22"/>
        <v>1295.205513220877</v>
      </c>
      <c r="J56" s="76">
        <f t="shared" si="22"/>
        <v>1299.0701613256999</v>
      </c>
      <c r="K56" s="76">
        <f t="shared" si="22"/>
        <v>1302.9479492340793</v>
      </c>
      <c r="L56" s="76">
        <f t="shared" si="22"/>
        <v>1306.8389216213475</v>
      </c>
      <c r="M56" s="76">
        <f t="shared" si="22"/>
        <v>1310.7431233147324</v>
      </c>
      <c r="N56" s="76">
        <f t="shared" si="22"/>
        <v>1314.6605992938742</v>
      </c>
      <c r="O56" s="76">
        <f t="shared" si="22"/>
        <v>1318.5913946913456</v>
      </c>
      <c r="P56" s="76">
        <f t="shared" si="22"/>
        <v>1322.5355547931681</v>
      </c>
      <c r="Q56" s="76">
        <f t="shared" si="22"/>
        <v>1326.4931250393372</v>
      </c>
      <c r="R56" s="76">
        <f t="shared" si="22"/>
        <v>1330.464151024343</v>
      </c>
      <c r="S56" s="76">
        <f t="shared" si="22"/>
        <v>1334.448678497698</v>
      </c>
      <c r="T56" s="76">
        <f t="shared" si="22"/>
        <v>1338.446753364462</v>
      </c>
      <c r="U56" s="76">
        <f t="shared" si="22"/>
        <v>1342.4584216857734</v>
      </c>
      <c r="V56" s="76">
        <f t="shared" si="22"/>
        <v>1346.4837296793771</v>
      </c>
      <c r="W56" s="76">
        <f t="shared" si="22"/>
        <v>1350.5227237201591</v>
      </c>
      <c r="X56" s="76">
        <f t="shared" si="22"/>
        <v>1354.5754503406795</v>
      </c>
      <c r="Y56" s="76">
        <f t="shared" si="22"/>
        <v>1358.6419562317103</v>
      </c>
      <c r="Z56" s="76">
        <f t="shared" si="22"/>
        <v>1362.72228824277</v>
      </c>
      <c r="AA56" s="76">
        <f t="shared" si="22"/>
        <v>1366.8164933826677</v>
      </c>
      <c r="AB56" s="76">
        <f t="shared" si="22"/>
        <v>1370.9246188200405</v>
      </c>
      <c r="AC56" s="76">
        <f t="shared" si="22"/>
        <v>1375.0467118839006</v>
      </c>
      <c r="AD56" s="76">
        <f t="shared" si="22"/>
        <v>1379.1828200641783</v>
      </c>
      <c r="AE56" s="76">
        <f t="shared" si="22"/>
        <v>1383.3329910122684</v>
      </c>
      <c r="AF56" s="76">
        <f t="shared" si="22"/>
        <v>1387.4972725415823</v>
      </c>
      <c r="AG56" s="76">
        <f t="shared" si="22"/>
        <v>1391.6757126280952</v>
      </c>
      <c r="AH56" s="76">
        <f t="shared" si="22"/>
        <v>1395.8683594109032</v>
      </c>
      <c r="AI56" s="76">
        <f t="shared" si="22"/>
        <v>0</v>
      </c>
      <c r="AJ56" s="76">
        <f t="shared" si="22"/>
        <v>0</v>
      </c>
      <c r="AK56" s="76">
        <f t="shared" si="22"/>
        <v>0</v>
      </c>
      <c r="AL56" s="76">
        <f t="shared" si="22"/>
        <v>0</v>
      </c>
      <c r="AM56" s="76">
        <f t="shared" si="22"/>
        <v>0</v>
      </c>
      <c r="AN56" s="76">
        <f t="shared" si="22"/>
        <v>0</v>
      </c>
    </row>
    <row r="57" spans="1:40" ht="12" customHeight="1">
      <c r="A57" s="63" t="s">
        <v>169</v>
      </c>
      <c r="B57" s="72"/>
      <c r="C57" s="76">
        <f t="shared" si="19"/>
        <v>66724.550498924218</v>
      </c>
      <c r="D57" s="580">
        <f t="shared" si="20"/>
        <v>0.18367131683897123</v>
      </c>
      <c r="E57" s="76">
        <f t="shared" ref="E57:AN57" si="23">E35*0.91</f>
        <v>933.79801300510439</v>
      </c>
      <c r="F57" s="76">
        <f t="shared" si="23"/>
        <v>1644.891249073713</v>
      </c>
      <c r="G57" s="76">
        <f t="shared" si="23"/>
        <v>2199.724202716513</v>
      </c>
      <c r="H57" s="76">
        <f t="shared" si="23"/>
        <v>2206.2822952948436</v>
      </c>
      <c r="I57" s="76">
        <f t="shared" si="23"/>
        <v>2212.8626853879418</v>
      </c>
      <c r="J57" s="76">
        <f t="shared" si="23"/>
        <v>2219.4654488073556</v>
      </c>
      <c r="K57" s="76">
        <f t="shared" si="23"/>
        <v>2226.0906616223956</v>
      </c>
      <c r="L57" s="76">
        <f t="shared" si="23"/>
        <v>2232.7384001610067</v>
      </c>
      <c r="M57" s="76">
        <f t="shared" si="23"/>
        <v>2239.4087410106495</v>
      </c>
      <c r="N57" s="76">
        <f t="shared" si="23"/>
        <v>2246.1017610191802</v>
      </c>
      <c r="O57" s="76">
        <f t="shared" si="23"/>
        <v>2252.8175372957407</v>
      </c>
      <c r="P57" s="76">
        <f t="shared" si="23"/>
        <v>2259.556147211641</v>
      </c>
      <c r="Q57" s="76">
        <f t="shared" si="23"/>
        <v>2266.3176684012565</v>
      </c>
      <c r="R57" s="76">
        <f t="shared" si="23"/>
        <v>2273.1021787629156</v>
      </c>
      <c r="S57" s="76">
        <f t="shared" si="23"/>
        <v>2279.9097564598042</v>
      </c>
      <c r="T57" s="76">
        <f t="shared" si="23"/>
        <v>2286.7404799208625</v>
      </c>
      <c r="U57" s="76">
        <f t="shared" si="23"/>
        <v>2293.5944278416882</v>
      </c>
      <c r="V57" s="76">
        <f t="shared" si="23"/>
        <v>2300.4716791854453</v>
      </c>
      <c r="W57" s="76">
        <f t="shared" si="23"/>
        <v>2307.372313183771</v>
      </c>
      <c r="X57" s="76">
        <f t="shared" si="23"/>
        <v>2314.2964093376904</v>
      </c>
      <c r="Y57" s="76">
        <f t="shared" si="23"/>
        <v>2321.2440474185341</v>
      </c>
      <c r="Z57" s="76">
        <f t="shared" si="23"/>
        <v>2328.2153074688522</v>
      </c>
      <c r="AA57" s="76">
        <f t="shared" si="23"/>
        <v>2335.2102698033414</v>
      </c>
      <c r="AB57" s="76">
        <f t="shared" si="23"/>
        <v>2342.229015009767</v>
      </c>
      <c r="AC57" s="76">
        <f t="shared" si="23"/>
        <v>2349.2716239498955</v>
      </c>
      <c r="AD57" s="76">
        <f t="shared" si="23"/>
        <v>2356.3381777604204</v>
      </c>
      <c r="AE57" s="76">
        <f t="shared" si="23"/>
        <v>2363.4287578539006</v>
      </c>
      <c r="AF57" s="76">
        <f t="shared" si="23"/>
        <v>2370.543445919699</v>
      </c>
      <c r="AG57" s="76">
        <f t="shared" si="23"/>
        <v>2377.6823239249206</v>
      </c>
      <c r="AH57" s="76">
        <f t="shared" si="23"/>
        <v>2384.8454741153614</v>
      </c>
      <c r="AI57" s="76">
        <f t="shared" si="23"/>
        <v>0</v>
      </c>
      <c r="AJ57" s="76">
        <f t="shared" si="23"/>
        <v>0</v>
      </c>
      <c r="AK57" s="76">
        <f t="shared" si="23"/>
        <v>0</v>
      </c>
      <c r="AL57" s="76">
        <f t="shared" si="23"/>
        <v>0</v>
      </c>
      <c r="AM57" s="76">
        <f t="shared" si="23"/>
        <v>0</v>
      </c>
      <c r="AN57" s="76">
        <f t="shared" si="23"/>
        <v>0</v>
      </c>
    </row>
    <row r="58" spans="1:40" ht="12" customHeight="1">
      <c r="A58" s="63" t="s">
        <v>170</v>
      </c>
      <c r="B58" s="72"/>
      <c r="C58" s="76">
        <f t="shared" si="19"/>
        <v>117370.01563351613</v>
      </c>
      <c r="D58" s="580">
        <f t="shared" si="20"/>
        <v>0.32308206151446628</v>
      </c>
      <c r="E58" s="76">
        <f t="shared" ref="E58:AN58" si="24">E36*0.91</f>
        <v>1632.4580045300684</v>
      </c>
      <c r="F58" s="76">
        <f t="shared" si="24"/>
        <v>2876.7928738348405</v>
      </c>
      <c r="G58" s="76">
        <f t="shared" si="24"/>
        <v>3848.7652928078383</v>
      </c>
      <c r="H58" s="76">
        <f t="shared" si="24"/>
        <v>3861.8510948033845</v>
      </c>
      <c r="I58" s="76">
        <f t="shared" si="24"/>
        <v>3874.9813885257167</v>
      </c>
      <c r="J58" s="76">
        <f t="shared" si="24"/>
        <v>3888.1563252467045</v>
      </c>
      <c r="K58" s="76">
        <f t="shared" si="24"/>
        <v>3901.3760567525437</v>
      </c>
      <c r="L58" s="76">
        <f t="shared" si="24"/>
        <v>3914.6407353455029</v>
      </c>
      <c r="M58" s="76">
        <f t="shared" si="24"/>
        <v>3927.9505138456771</v>
      </c>
      <c r="N58" s="76">
        <f t="shared" si="24"/>
        <v>3941.3055455927529</v>
      </c>
      <c r="O58" s="76">
        <f t="shared" si="24"/>
        <v>3954.7059844477694</v>
      </c>
      <c r="P58" s="76">
        <f t="shared" si="24"/>
        <v>3968.1519847948912</v>
      </c>
      <c r="Q58" s="76">
        <f t="shared" si="24"/>
        <v>3981.6437015431948</v>
      </c>
      <c r="R58" s="76">
        <f t="shared" si="24"/>
        <v>3995.181290128442</v>
      </c>
      <c r="S58" s="76">
        <f t="shared" si="24"/>
        <v>4008.7649065148789</v>
      </c>
      <c r="T58" s="76">
        <f t="shared" si="24"/>
        <v>4022.3947071970297</v>
      </c>
      <c r="U58" s="76">
        <f t="shared" si="24"/>
        <v>4036.0708492015001</v>
      </c>
      <c r="V58" s="76">
        <f t="shared" si="24"/>
        <v>4049.7934900887853</v>
      </c>
      <c r="W58" s="76">
        <f t="shared" si="24"/>
        <v>4063.5627879550875</v>
      </c>
      <c r="X58" s="76">
        <f t="shared" si="24"/>
        <v>4077.3789014341346</v>
      </c>
      <c r="Y58" s="76">
        <f t="shared" si="24"/>
        <v>4091.2419896990118</v>
      </c>
      <c r="Z58" s="76">
        <f t="shared" si="24"/>
        <v>4105.1522124639887</v>
      </c>
      <c r="AA58" s="76">
        <f t="shared" si="24"/>
        <v>4119.1097299863659</v>
      </c>
      <c r="AB58" s="76">
        <f t="shared" si="24"/>
        <v>4133.1147030683205</v>
      </c>
      <c r="AC58" s="76">
        <f t="shared" si="24"/>
        <v>4147.1672930587529</v>
      </c>
      <c r="AD58" s="76">
        <f t="shared" si="24"/>
        <v>4161.2676618551523</v>
      </c>
      <c r="AE58" s="76">
        <f t="shared" si="24"/>
        <v>4175.4159719054605</v>
      </c>
      <c r="AF58" s="76">
        <f t="shared" si="24"/>
        <v>4189.6123862099394</v>
      </c>
      <c r="AG58" s="76">
        <f t="shared" si="24"/>
        <v>4203.8570683230528</v>
      </c>
      <c r="AH58" s="76">
        <f t="shared" si="24"/>
        <v>4218.1501823553517</v>
      </c>
      <c r="AI58" s="76">
        <f t="shared" si="24"/>
        <v>0</v>
      </c>
      <c r="AJ58" s="76">
        <f t="shared" si="24"/>
        <v>0</v>
      </c>
      <c r="AK58" s="76">
        <f t="shared" si="24"/>
        <v>0</v>
      </c>
      <c r="AL58" s="76">
        <f t="shared" si="24"/>
        <v>0</v>
      </c>
      <c r="AM58" s="76">
        <f t="shared" si="24"/>
        <v>0</v>
      </c>
      <c r="AN58" s="76">
        <f t="shared" si="24"/>
        <v>0</v>
      </c>
    </row>
    <row r="59" spans="1:40" ht="12" customHeight="1">
      <c r="A59" s="63" t="s">
        <v>171</v>
      </c>
      <c r="B59" s="72"/>
      <c r="C59" s="76">
        <f t="shared" si="19"/>
        <v>66733.272487055146</v>
      </c>
      <c r="D59" s="580">
        <f t="shared" si="20"/>
        <v>0.18369532567879829</v>
      </c>
      <c r="E59" s="76">
        <f t="shared" ref="E59:AN59" si="25">E37*0.91</f>
        <v>959.28598205383764</v>
      </c>
      <c r="F59" s="76">
        <f t="shared" si="25"/>
        <v>1686.7600418912798</v>
      </c>
      <c r="G59" s="76">
        <f t="shared" si="25"/>
        <v>2251.6760208149335</v>
      </c>
      <c r="H59" s="76">
        <f t="shared" si="25"/>
        <v>2254.3477053890242</v>
      </c>
      <c r="I59" s="76">
        <f t="shared" si="25"/>
        <v>2257.0284736906665</v>
      </c>
      <c r="J59" s="76">
        <f t="shared" si="25"/>
        <v>2259.7183566045351</v>
      </c>
      <c r="K59" s="76">
        <f t="shared" si="25"/>
        <v>2262.4173851203109</v>
      </c>
      <c r="L59" s="76">
        <f t="shared" si="25"/>
        <v>2265.1255903330402</v>
      </c>
      <c r="M59" s="76">
        <f t="shared" si="25"/>
        <v>2267.8430034434923</v>
      </c>
      <c r="N59" s="76">
        <f t="shared" si="25"/>
        <v>2270.5696557585202</v>
      </c>
      <c r="O59" s="76">
        <f t="shared" si="25"/>
        <v>2273.3055786914192</v>
      </c>
      <c r="P59" s="76">
        <f t="shared" si="25"/>
        <v>2276.0508037622899</v>
      </c>
      <c r="Q59" s="76">
        <f t="shared" si="25"/>
        <v>2278.8053625984021</v>
      </c>
      <c r="R59" s="76">
        <f t="shared" si="25"/>
        <v>2281.5692869345567</v>
      </c>
      <c r="S59" s="76">
        <f t="shared" si="25"/>
        <v>2284.3426086134541</v>
      </c>
      <c r="T59" s="76">
        <f t="shared" si="25"/>
        <v>2287.1253595860599</v>
      </c>
      <c r="U59" s="76">
        <f t="shared" si="25"/>
        <v>2289.9175719119726</v>
      </c>
      <c r="V59" s="76">
        <f t="shared" si="25"/>
        <v>2292.7192777597934</v>
      </c>
      <c r="W59" s="76">
        <f t="shared" si="25"/>
        <v>2295.5305094074965</v>
      </c>
      <c r="X59" s="76">
        <f t="shared" si="25"/>
        <v>2298.3512992428023</v>
      </c>
      <c r="Y59" s="76">
        <f t="shared" si="25"/>
        <v>2301.1816797635479</v>
      </c>
      <c r="Z59" s="76">
        <f t="shared" si="25"/>
        <v>2304.0216835780643</v>
      </c>
      <c r="AA59" s="76">
        <f t="shared" si="25"/>
        <v>2306.8713434055489</v>
      </c>
      <c r="AB59" s="76">
        <f t="shared" si="25"/>
        <v>2309.7306920764486</v>
      </c>
      <c r="AC59" s="76">
        <f t="shared" si="25"/>
        <v>2312.5997625328282</v>
      </c>
      <c r="AD59" s="76">
        <f t="shared" si="25"/>
        <v>2315.4785878287603</v>
      </c>
      <c r="AE59" s="76">
        <f t="shared" si="25"/>
        <v>2318.367201130698</v>
      </c>
      <c r="AF59" s="76">
        <f t="shared" si="25"/>
        <v>2321.2656357178621</v>
      </c>
      <c r="AG59" s="76">
        <f t="shared" si="25"/>
        <v>2324.1739249826232</v>
      </c>
      <c r="AH59" s="76">
        <f t="shared" si="25"/>
        <v>2327.0921024308836</v>
      </c>
      <c r="AI59" s="76">
        <f t="shared" si="25"/>
        <v>0</v>
      </c>
      <c r="AJ59" s="76">
        <f t="shared" si="25"/>
        <v>0</v>
      </c>
      <c r="AK59" s="76">
        <f t="shared" si="25"/>
        <v>0</v>
      </c>
      <c r="AL59" s="76">
        <f t="shared" si="25"/>
        <v>0</v>
      </c>
      <c r="AM59" s="76">
        <f t="shared" si="25"/>
        <v>0</v>
      </c>
      <c r="AN59" s="76">
        <f t="shared" si="25"/>
        <v>0</v>
      </c>
    </row>
    <row r="60" spans="1:40" ht="12" customHeight="1">
      <c r="A60" s="63" t="s">
        <v>172</v>
      </c>
      <c r="B60" s="72"/>
      <c r="C60" s="76">
        <f t="shared" si="19"/>
        <v>37171.549244519105</v>
      </c>
      <c r="D60" s="580">
        <f t="shared" si="20"/>
        <v>0.10232136968529396</v>
      </c>
      <c r="E60" s="76">
        <f t="shared" ref="E60:AN60" si="26">E38*0.91</f>
        <v>544.04924451910767</v>
      </c>
      <c r="F60" s="76">
        <f t="shared" si="26"/>
        <v>955.5</v>
      </c>
      <c r="G60" s="76">
        <f t="shared" si="26"/>
        <v>1274</v>
      </c>
      <c r="H60" s="76">
        <f t="shared" si="26"/>
        <v>1274</v>
      </c>
      <c r="I60" s="76">
        <f t="shared" si="26"/>
        <v>1274</v>
      </c>
      <c r="J60" s="76">
        <f t="shared" si="26"/>
        <v>1274</v>
      </c>
      <c r="K60" s="76">
        <f t="shared" si="26"/>
        <v>1274</v>
      </c>
      <c r="L60" s="76">
        <f t="shared" si="26"/>
        <v>1274</v>
      </c>
      <c r="M60" s="76">
        <f t="shared" si="26"/>
        <v>1274</v>
      </c>
      <c r="N60" s="76">
        <f t="shared" si="26"/>
        <v>1274</v>
      </c>
      <c r="O60" s="76">
        <f t="shared" si="26"/>
        <v>1274</v>
      </c>
      <c r="P60" s="76">
        <f t="shared" si="26"/>
        <v>1274</v>
      </c>
      <c r="Q60" s="76">
        <f t="shared" si="26"/>
        <v>1274</v>
      </c>
      <c r="R60" s="76">
        <f t="shared" si="26"/>
        <v>1274</v>
      </c>
      <c r="S60" s="76">
        <f t="shared" si="26"/>
        <v>1274</v>
      </c>
      <c r="T60" s="76">
        <f t="shared" si="26"/>
        <v>1274</v>
      </c>
      <c r="U60" s="76">
        <f t="shared" si="26"/>
        <v>1274</v>
      </c>
      <c r="V60" s="76">
        <f t="shared" si="26"/>
        <v>1274</v>
      </c>
      <c r="W60" s="76">
        <f t="shared" si="26"/>
        <v>1274</v>
      </c>
      <c r="X60" s="76">
        <f t="shared" si="26"/>
        <v>1274</v>
      </c>
      <c r="Y60" s="76">
        <f t="shared" si="26"/>
        <v>1274</v>
      </c>
      <c r="Z60" s="76">
        <f t="shared" si="26"/>
        <v>1274</v>
      </c>
      <c r="AA60" s="76">
        <f t="shared" si="26"/>
        <v>1274</v>
      </c>
      <c r="AB60" s="76">
        <f t="shared" si="26"/>
        <v>1274</v>
      </c>
      <c r="AC60" s="76">
        <f t="shared" si="26"/>
        <v>1274</v>
      </c>
      <c r="AD60" s="76">
        <f t="shared" si="26"/>
        <v>1274</v>
      </c>
      <c r="AE60" s="76">
        <f t="shared" si="26"/>
        <v>1274</v>
      </c>
      <c r="AF60" s="76">
        <f t="shared" si="26"/>
        <v>1274</v>
      </c>
      <c r="AG60" s="76">
        <f t="shared" si="26"/>
        <v>1274</v>
      </c>
      <c r="AH60" s="76">
        <f t="shared" si="26"/>
        <v>1274</v>
      </c>
      <c r="AI60" s="76">
        <f t="shared" si="26"/>
        <v>0</v>
      </c>
      <c r="AJ60" s="76">
        <f t="shared" si="26"/>
        <v>0</v>
      </c>
      <c r="AK60" s="76">
        <f t="shared" si="26"/>
        <v>0</v>
      </c>
      <c r="AL60" s="76">
        <f t="shared" si="26"/>
        <v>0</v>
      </c>
      <c r="AM60" s="76">
        <f t="shared" si="26"/>
        <v>0</v>
      </c>
      <c r="AN60" s="76">
        <f t="shared" si="26"/>
        <v>0</v>
      </c>
    </row>
    <row r="61" spans="1:40" ht="12" customHeight="1">
      <c r="A61" s="63" t="s">
        <v>173</v>
      </c>
      <c r="B61" s="72"/>
      <c r="C61" s="76">
        <f t="shared" si="19"/>
        <v>1556.7188979475486</v>
      </c>
      <c r="D61" s="580">
        <f t="shared" si="20"/>
        <v>4.285148536725597E-3</v>
      </c>
      <c r="E61" s="76">
        <f t="shared" ref="E61:AN61" si="27">E39*0.91</f>
        <v>22.784407902553614</v>
      </c>
      <c r="F61" s="76">
        <f t="shared" si="27"/>
        <v>40.015682348999896</v>
      </c>
      <c r="G61" s="76">
        <f t="shared" si="27"/>
        <v>53.354243131999851</v>
      </c>
      <c r="H61" s="76">
        <f t="shared" si="27"/>
        <v>53.354243131999851</v>
      </c>
      <c r="I61" s="76">
        <f t="shared" si="27"/>
        <v>53.354243131999851</v>
      </c>
      <c r="J61" s="76">
        <f t="shared" si="27"/>
        <v>53.354243131999851</v>
      </c>
      <c r="K61" s="76">
        <f t="shared" si="27"/>
        <v>53.354243131999851</v>
      </c>
      <c r="L61" s="76">
        <f t="shared" si="27"/>
        <v>53.354243131999851</v>
      </c>
      <c r="M61" s="76">
        <f t="shared" si="27"/>
        <v>53.354243131999851</v>
      </c>
      <c r="N61" s="76">
        <f t="shared" si="27"/>
        <v>53.354243131999851</v>
      </c>
      <c r="O61" s="76">
        <f t="shared" si="27"/>
        <v>53.354243131999851</v>
      </c>
      <c r="P61" s="76">
        <f t="shared" si="27"/>
        <v>53.354243131999851</v>
      </c>
      <c r="Q61" s="76">
        <f t="shared" si="27"/>
        <v>53.354243131999851</v>
      </c>
      <c r="R61" s="76">
        <f t="shared" si="27"/>
        <v>53.354243131999851</v>
      </c>
      <c r="S61" s="76">
        <f t="shared" si="27"/>
        <v>53.354243131999851</v>
      </c>
      <c r="T61" s="76">
        <f t="shared" si="27"/>
        <v>53.354243131999851</v>
      </c>
      <c r="U61" s="76">
        <f t="shared" si="27"/>
        <v>53.354243131999851</v>
      </c>
      <c r="V61" s="76">
        <f t="shared" si="27"/>
        <v>53.354243131999851</v>
      </c>
      <c r="W61" s="76">
        <f t="shared" si="27"/>
        <v>53.354243131999851</v>
      </c>
      <c r="X61" s="76">
        <f t="shared" si="27"/>
        <v>53.354243131999851</v>
      </c>
      <c r="Y61" s="76">
        <f t="shared" si="27"/>
        <v>53.354243131999851</v>
      </c>
      <c r="Z61" s="76">
        <f t="shared" si="27"/>
        <v>53.354243131999851</v>
      </c>
      <c r="AA61" s="76">
        <f t="shared" si="27"/>
        <v>53.354243131999851</v>
      </c>
      <c r="AB61" s="76">
        <f t="shared" si="27"/>
        <v>53.354243131999851</v>
      </c>
      <c r="AC61" s="76">
        <f t="shared" si="27"/>
        <v>53.354243131999851</v>
      </c>
      <c r="AD61" s="76">
        <f t="shared" si="27"/>
        <v>53.354243131999851</v>
      </c>
      <c r="AE61" s="76">
        <f t="shared" si="27"/>
        <v>53.354243131999851</v>
      </c>
      <c r="AF61" s="76">
        <f t="shared" si="27"/>
        <v>53.354243131999851</v>
      </c>
      <c r="AG61" s="76">
        <f t="shared" si="27"/>
        <v>53.354243131999851</v>
      </c>
      <c r="AH61" s="76">
        <f t="shared" si="27"/>
        <v>53.354243131999851</v>
      </c>
      <c r="AI61" s="76">
        <f t="shared" si="27"/>
        <v>0</v>
      </c>
      <c r="AJ61" s="76">
        <f t="shared" si="27"/>
        <v>0</v>
      </c>
      <c r="AK61" s="76">
        <f t="shared" si="27"/>
        <v>0</v>
      </c>
      <c r="AL61" s="76">
        <f t="shared" si="27"/>
        <v>0</v>
      </c>
      <c r="AM61" s="76">
        <f t="shared" si="27"/>
        <v>0</v>
      </c>
      <c r="AN61" s="76">
        <f t="shared" si="27"/>
        <v>0</v>
      </c>
    </row>
    <row r="62" spans="1:40" ht="12" customHeight="1">
      <c r="A62" s="64" t="s">
        <v>174</v>
      </c>
      <c r="B62" s="78" t="s">
        <v>16</v>
      </c>
      <c r="C62" s="78">
        <f>SUM(E62:AJ62)</f>
        <v>363282.36573500006</v>
      </c>
      <c r="D62" s="581">
        <f t="shared" si="20"/>
        <v>1</v>
      </c>
      <c r="E62" s="78">
        <f t="shared" ref="E62:AH62" si="28">SUM(E54:E61)</f>
        <v>5124.1613084225883</v>
      </c>
      <c r="F62" s="78">
        <f t="shared" si="28"/>
        <v>9021.4569648498764</v>
      </c>
      <c r="G62" s="78">
        <f t="shared" si="28"/>
        <v>12058.070958783625</v>
      </c>
      <c r="H62" s="78">
        <f t="shared" si="28"/>
        <v>12087.632800786627</v>
      </c>
      <c r="I62" s="78">
        <f t="shared" si="28"/>
        <v>12117.295153052442</v>
      </c>
      <c r="J62" s="78">
        <f t="shared" si="28"/>
        <v>12147.058357315958</v>
      </c>
      <c r="K62" s="78">
        <f t="shared" si="28"/>
        <v>12176.92275647397</v>
      </c>
      <c r="L62" s="78">
        <f t="shared" si="28"/>
        <v>12206.888694589123</v>
      </c>
      <c r="M62" s="78">
        <f t="shared" si="28"/>
        <v>12236.956516893862</v>
      </c>
      <c r="N62" s="78">
        <f t="shared" si="28"/>
        <v>12267.12656979444</v>
      </c>
      <c r="O62" s="78">
        <f t="shared" si="28"/>
        <v>12297.399200874883</v>
      </c>
      <c r="P62" s="78">
        <f t="shared" si="28"/>
        <v>12327.774758900992</v>
      </c>
      <c r="Q62" s="78">
        <f t="shared" si="28"/>
        <v>12358.253593824398</v>
      </c>
      <c r="R62" s="78">
        <f t="shared" si="28"/>
        <v>12388.836056786538</v>
      </c>
      <c r="S62" s="78">
        <f t="shared" si="28"/>
        <v>12419.52250012275</v>
      </c>
      <c r="T62" s="78">
        <f t="shared" si="28"/>
        <v>12450.313277366307</v>
      </c>
      <c r="U62" s="78">
        <f t="shared" si="28"/>
        <v>12481.208743252491</v>
      </c>
      <c r="V62" s="78">
        <f t="shared" si="28"/>
        <v>12512.209253722689</v>
      </c>
      <c r="W62" s="78">
        <f t="shared" si="28"/>
        <v>12543.315165928487</v>
      </c>
      <c r="X62" s="78">
        <f t="shared" si="28"/>
        <v>12574.526838235779</v>
      </c>
      <c r="Y62" s="78">
        <f t="shared" si="28"/>
        <v>12605.844630228921</v>
      </c>
      <c r="Z62" s="78">
        <f t="shared" si="28"/>
        <v>12637.268902714841</v>
      </c>
      <c r="AA62" s="78">
        <f t="shared" si="28"/>
        <v>12668.800017727206</v>
      </c>
      <c r="AB62" s="78">
        <f t="shared" si="28"/>
        <v>12700.438338530619</v>
      </c>
      <c r="AC62" s="78">
        <f t="shared" si="28"/>
        <v>12732.184229624761</v>
      </c>
      <c r="AD62" s="78">
        <f t="shared" si="28"/>
        <v>12764.038056748625</v>
      </c>
      <c r="AE62" s="78">
        <f t="shared" si="28"/>
        <v>12796.000186884708</v>
      </c>
      <c r="AF62" s="78">
        <f t="shared" si="28"/>
        <v>12828.070988263255</v>
      </c>
      <c r="AG62" s="78">
        <f t="shared" si="28"/>
        <v>12860.250830366489</v>
      </c>
      <c r="AH62" s="78">
        <f t="shared" si="28"/>
        <v>12892.540083932874</v>
      </c>
      <c r="AI62" s="78">
        <f t="shared" ref="AI62:AN62" si="29">SUM(AI54:AI61)</f>
        <v>0</v>
      </c>
      <c r="AJ62" s="78">
        <f t="shared" si="29"/>
        <v>0</v>
      </c>
      <c r="AK62" s="78">
        <f t="shared" si="29"/>
        <v>0</v>
      </c>
      <c r="AL62" s="78">
        <f t="shared" si="29"/>
        <v>0</v>
      </c>
      <c r="AM62" s="78">
        <f t="shared" si="29"/>
        <v>0</v>
      </c>
      <c r="AN62" s="78">
        <f t="shared" si="29"/>
        <v>0</v>
      </c>
    </row>
    <row r="63" spans="1:40" ht="12" customHeight="1">
      <c r="A63" s="60"/>
      <c r="B63" s="60"/>
      <c r="C63" s="60"/>
      <c r="D63" s="575"/>
      <c r="E63" s="73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</row>
    <row r="64" spans="1:40" ht="12" customHeight="1">
      <c r="A64" s="60"/>
      <c r="B64" s="60"/>
      <c r="C64" s="60"/>
      <c r="D64" s="575"/>
      <c r="E64" s="73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</row>
    <row r="65" spans="1:40" ht="12" customHeight="1">
      <c r="A65" s="63"/>
      <c r="B65" s="63"/>
      <c r="C65" s="63"/>
      <c r="D65" s="575"/>
      <c r="E65" s="73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</row>
    <row r="66" spans="1:40" ht="12" customHeight="1">
      <c r="A66" s="63" t="s">
        <v>177</v>
      </c>
      <c r="B66" s="377">
        <v>21648</v>
      </c>
      <c r="C66" s="63" t="s">
        <v>178</v>
      </c>
      <c r="D66" s="575"/>
      <c r="E66" s="73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</row>
    <row r="67" spans="1:40" ht="12" customHeight="1">
      <c r="A67" s="63" t="s">
        <v>179</v>
      </c>
      <c r="B67" s="377">
        <v>8</v>
      </c>
      <c r="C67" s="63" t="s">
        <v>180</v>
      </c>
      <c r="D67" s="575"/>
      <c r="E67" s="73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</row>
    <row r="68" spans="1:40" ht="12" customHeight="1">
      <c r="A68" s="63" t="s">
        <v>181</v>
      </c>
      <c r="B68" s="378">
        <f>'benchmarks preços'!F106</f>
        <v>0.33854765110397639</v>
      </c>
      <c r="C68" s="63"/>
      <c r="D68" s="575"/>
      <c r="E68" s="73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</row>
    <row r="69" spans="1:40" ht="12" customHeight="1">
      <c r="A69" s="63" t="s">
        <v>182</v>
      </c>
      <c r="B69" s="378">
        <f>'benchmarks preços'!F107</f>
        <v>0.69008823529411767</v>
      </c>
      <c r="C69" s="63"/>
      <c r="D69" s="575"/>
      <c r="E69" s="73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</row>
    <row r="70" spans="1:40" ht="12" customHeight="1">
      <c r="A70" s="63" t="s">
        <v>183</v>
      </c>
      <c r="B70" s="378">
        <f>'benchmarks preços'!F115</f>
        <v>0.20061176470588235</v>
      </c>
      <c r="C70" s="60"/>
      <c r="D70" s="575"/>
      <c r="E70" s="73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</row>
    <row r="74" spans="1:40" ht="15" customHeight="1">
      <c r="A74" t="str">
        <f>A31</f>
        <v>RECEITAS - BASE</v>
      </c>
      <c r="C74" t="str">
        <f>C30</f>
        <v>Soma</v>
      </c>
      <c r="E74" s="554">
        <f t="shared" ref="E74:AN74" si="30">E2</f>
        <v>1</v>
      </c>
      <c r="F74" s="554">
        <f t="shared" si="30"/>
        <v>2</v>
      </c>
      <c r="G74" s="554">
        <f t="shared" si="30"/>
        <v>3</v>
      </c>
      <c r="H74" s="554">
        <f t="shared" si="30"/>
        <v>4</v>
      </c>
      <c r="I74" s="554">
        <f t="shared" si="30"/>
        <v>5</v>
      </c>
      <c r="J74" s="554">
        <f t="shared" si="30"/>
        <v>6</v>
      </c>
      <c r="K74" s="554">
        <f t="shared" si="30"/>
        <v>7</v>
      </c>
      <c r="L74" s="554">
        <f t="shared" si="30"/>
        <v>8</v>
      </c>
      <c r="M74" s="554">
        <f t="shared" si="30"/>
        <v>9</v>
      </c>
      <c r="N74" s="554">
        <f t="shared" si="30"/>
        <v>10</v>
      </c>
      <c r="O74" s="554">
        <f t="shared" si="30"/>
        <v>11</v>
      </c>
      <c r="P74" s="554">
        <f t="shared" si="30"/>
        <v>12</v>
      </c>
      <c r="Q74" s="554">
        <f t="shared" si="30"/>
        <v>13</v>
      </c>
      <c r="R74" s="554">
        <f t="shared" si="30"/>
        <v>14</v>
      </c>
      <c r="S74" s="554">
        <f t="shared" si="30"/>
        <v>15</v>
      </c>
      <c r="T74" s="554">
        <f t="shared" si="30"/>
        <v>16</v>
      </c>
      <c r="U74" s="554">
        <f t="shared" si="30"/>
        <v>17</v>
      </c>
      <c r="V74" s="554">
        <f t="shared" si="30"/>
        <v>18</v>
      </c>
      <c r="W74" s="554">
        <f t="shared" si="30"/>
        <v>19</v>
      </c>
      <c r="X74" s="554">
        <f t="shared" si="30"/>
        <v>20</v>
      </c>
      <c r="Y74" s="554">
        <f t="shared" si="30"/>
        <v>21</v>
      </c>
      <c r="Z74" s="554">
        <f t="shared" si="30"/>
        <v>22</v>
      </c>
      <c r="AA74" s="554">
        <f t="shared" si="30"/>
        <v>23</v>
      </c>
      <c r="AB74" s="554">
        <f t="shared" si="30"/>
        <v>24</v>
      </c>
      <c r="AC74" s="554">
        <f t="shared" si="30"/>
        <v>25</v>
      </c>
      <c r="AD74" s="554">
        <f t="shared" si="30"/>
        <v>26</v>
      </c>
      <c r="AE74" s="554">
        <f t="shared" si="30"/>
        <v>27</v>
      </c>
      <c r="AF74" s="554">
        <f t="shared" si="30"/>
        <v>28</v>
      </c>
      <c r="AG74" s="554">
        <f t="shared" si="30"/>
        <v>29</v>
      </c>
      <c r="AH74" s="554">
        <f t="shared" si="30"/>
        <v>30</v>
      </c>
      <c r="AI74" s="554">
        <f t="shared" si="30"/>
        <v>31</v>
      </c>
      <c r="AJ74" s="554">
        <f t="shared" si="30"/>
        <v>32</v>
      </c>
      <c r="AK74" s="554">
        <f t="shared" si="30"/>
        <v>33</v>
      </c>
      <c r="AL74" s="554">
        <f t="shared" si="30"/>
        <v>34</v>
      </c>
      <c r="AM74" s="554">
        <f t="shared" si="30"/>
        <v>35</v>
      </c>
      <c r="AN74" s="554">
        <f t="shared" si="30"/>
        <v>36</v>
      </c>
    </row>
    <row r="75" spans="1:40" ht="15" customHeight="1">
      <c r="A75" t="str">
        <f t="shared" ref="A75:A83" si="31">A32</f>
        <v>Charrete</v>
      </c>
      <c r="C75" s="539">
        <f t="shared" ref="C75:R83" si="32">C32*1000</f>
        <v>1524038.1302358618</v>
      </c>
      <c r="D75" s="539"/>
      <c r="E75" s="539">
        <f>E32*1000</f>
        <v>21328.637916881991</v>
      </c>
      <c r="F75" s="539">
        <f t="shared" si="32"/>
        <v>37570.533857999551</v>
      </c>
      <c r="G75" s="539">
        <f t="shared" si="32"/>
        <v>50243.329267488982</v>
      </c>
      <c r="H75" s="539">
        <f t="shared" si="32"/>
        <v>50393.120956998449</v>
      </c>
      <c r="I75" s="539">
        <f t="shared" si="32"/>
        <v>50543.421938252257</v>
      </c>
      <c r="J75" s="539">
        <f t="shared" si="32"/>
        <v>50694.233942842315</v>
      </c>
      <c r="K75" s="539">
        <f t="shared" si="32"/>
        <v>50845.558708247976</v>
      </c>
      <c r="L75" s="539">
        <f t="shared" si="32"/>
        <v>50997.397977856032</v>
      </c>
      <c r="M75" s="539">
        <f t="shared" si="32"/>
        <v>51149.753500980747</v>
      </c>
      <c r="N75" s="539">
        <f t="shared" si="32"/>
        <v>51302.627032884076</v>
      </c>
      <c r="O75" s="539">
        <f t="shared" si="32"/>
        <v>51456.020334795889</v>
      </c>
      <c r="P75" s="539">
        <f t="shared" si="32"/>
        <v>51609.935173934195</v>
      </c>
      <c r="Q75" s="539">
        <f t="shared" si="32"/>
        <v>51764.373323525579</v>
      </c>
      <c r="R75" s="539">
        <f t="shared" si="32"/>
        <v>51919.336562825571</v>
      </c>
      <c r="S75" s="539">
        <f t="shared" ref="E75:AN81" si="33">S32*1000</f>
        <v>52074.826677139179</v>
      </c>
      <c r="T75" s="539">
        <f t="shared" si="33"/>
        <v>52230.845457841453</v>
      </c>
      <c r="U75" s="539">
        <f t="shared" si="33"/>
        <v>52387.394702398116</v>
      </c>
      <c r="V75" s="539">
        <f t="shared" si="33"/>
        <v>52544.476214386275</v>
      </c>
      <c r="W75" s="539">
        <f t="shared" si="33"/>
        <v>52702.091803515199</v>
      </c>
      <c r="X75" s="539">
        <f t="shared" si="33"/>
        <v>52860.243285647142</v>
      </c>
      <c r="Y75" s="539">
        <f t="shared" si="33"/>
        <v>53018.93248281836</v>
      </c>
      <c r="Z75" s="539">
        <f t="shared" si="33"/>
        <v>53178.161223259944</v>
      </c>
      <c r="AA75" s="539">
        <f t="shared" si="33"/>
        <v>53337.931341419026</v>
      </c>
      <c r="AB75" s="539">
        <f t="shared" si="33"/>
        <v>53498.244677979848</v>
      </c>
      <c r="AC75" s="539">
        <f t="shared" si="33"/>
        <v>53659.103079884982</v>
      </c>
      <c r="AD75" s="539">
        <f t="shared" si="33"/>
        <v>53820.508400356601</v>
      </c>
      <c r="AE75" s="539">
        <f t="shared" si="33"/>
        <v>53982.462498917812</v>
      </c>
      <c r="AF75" s="539">
        <f t="shared" si="33"/>
        <v>54144.967241414139</v>
      </c>
      <c r="AG75" s="539">
        <f t="shared" si="33"/>
        <v>54308.024500034939</v>
      </c>
      <c r="AH75" s="539">
        <f t="shared" si="33"/>
        <v>54471.636153335072</v>
      </c>
      <c r="AI75" s="539">
        <f t="shared" si="33"/>
        <v>0</v>
      </c>
      <c r="AJ75" s="539">
        <f t="shared" si="33"/>
        <v>0</v>
      </c>
      <c r="AK75" s="539">
        <f t="shared" si="33"/>
        <v>0</v>
      </c>
      <c r="AL75" s="539">
        <f t="shared" si="33"/>
        <v>0</v>
      </c>
      <c r="AM75" s="539">
        <f t="shared" si="33"/>
        <v>0</v>
      </c>
      <c r="AN75" s="539">
        <f t="shared" si="33"/>
        <v>0</v>
      </c>
    </row>
    <row r="76" spans="1:40" ht="15" customHeight="1">
      <c r="A76" t="str">
        <f t="shared" si="31"/>
        <v>Ecoterapia</v>
      </c>
      <c r="C76" s="539">
        <f t="shared" si="32"/>
        <v>36576915.125660688</v>
      </c>
      <c r="D76" s="539"/>
      <c r="E76" s="539">
        <f t="shared" si="33"/>
        <v>511887.31000516785</v>
      </c>
      <c r="F76" s="539">
        <f t="shared" si="33"/>
        <v>901692.81259198894</v>
      </c>
      <c r="G76" s="539">
        <f t="shared" si="33"/>
        <v>1205839.9024197357</v>
      </c>
      <c r="H76" s="539">
        <f t="shared" si="33"/>
        <v>1209434.9029679629</v>
      </c>
      <c r="I76" s="539">
        <f t="shared" si="33"/>
        <v>1213042.1265180542</v>
      </c>
      <c r="J76" s="539">
        <f t="shared" si="33"/>
        <v>1216661.6146282156</v>
      </c>
      <c r="K76" s="539">
        <f t="shared" si="33"/>
        <v>1220293.4089979515</v>
      </c>
      <c r="L76" s="539">
        <f t="shared" si="33"/>
        <v>1223937.5514685446</v>
      </c>
      <c r="M76" s="539">
        <f t="shared" si="33"/>
        <v>1227594.084023538</v>
      </c>
      <c r="N76" s="539">
        <f t="shared" si="33"/>
        <v>1231263.0487892178</v>
      </c>
      <c r="O76" s="539">
        <f t="shared" si="33"/>
        <v>1234944.4880351014</v>
      </c>
      <c r="P76" s="539">
        <f t="shared" si="33"/>
        <v>1238638.4441744206</v>
      </c>
      <c r="Q76" s="539">
        <f t="shared" si="33"/>
        <v>1242344.9597646138</v>
      </c>
      <c r="R76" s="539">
        <f t="shared" si="33"/>
        <v>1246064.0775078137</v>
      </c>
      <c r="S76" s="539">
        <f t="shared" si="33"/>
        <v>1249795.8402513403</v>
      </c>
      <c r="T76" s="539">
        <f t="shared" si="33"/>
        <v>1253540.2909881948</v>
      </c>
      <c r="U76" s="539">
        <f t="shared" si="33"/>
        <v>1257297.4728575549</v>
      </c>
      <c r="V76" s="539">
        <f t="shared" si="33"/>
        <v>1261067.4291452705</v>
      </c>
      <c r="W76" s="539">
        <f t="shared" si="33"/>
        <v>1264850.2032843647</v>
      </c>
      <c r="X76" s="539">
        <f t="shared" si="33"/>
        <v>1268645.8388555315</v>
      </c>
      <c r="Y76" s="539">
        <f t="shared" si="33"/>
        <v>1272454.3795876405</v>
      </c>
      <c r="Z76" s="539">
        <f t="shared" si="33"/>
        <v>1276275.8693582388</v>
      </c>
      <c r="AA76" s="539">
        <f t="shared" si="33"/>
        <v>1280110.3521940566</v>
      </c>
      <c r="AB76" s="539">
        <f t="shared" si="33"/>
        <v>1283957.8722715164</v>
      </c>
      <c r="AC76" s="539">
        <f t="shared" si="33"/>
        <v>1287818.4739172396</v>
      </c>
      <c r="AD76" s="539">
        <f t="shared" si="33"/>
        <v>1291692.2016085584</v>
      </c>
      <c r="AE76" s="539">
        <f t="shared" si="33"/>
        <v>1295579.0999740274</v>
      </c>
      <c r="AF76" s="539">
        <f t="shared" si="33"/>
        <v>1299479.2137939394</v>
      </c>
      <c r="AG76" s="539">
        <f t="shared" si="33"/>
        <v>1303392.5880008386</v>
      </c>
      <c r="AH76" s="539">
        <f t="shared" si="33"/>
        <v>1307319.2676800417</v>
      </c>
      <c r="AI76" s="539">
        <f t="shared" si="33"/>
        <v>0</v>
      </c>
      <c r="AJ76" s="539">
        <f t="shared" si="33"/>
        <v>0</v>
      </c>
      <c r="AK76" s="539">
        <f t="shared" si="33"/>
        <v>0</v>
      </c>
      <c r="AL76" s="539">
        <f t="shared" si="33"/>
        <v>0</v>
      </c>
      <c r="AM76" s="539">
        <f t="shared" si="33"/>
        <v>0</v>
      </c>
      <c r="AN76" s="539">
        <f t="shared" si="33"/>
        <v>0</v>
      </c>
    </row>
    <row r="77" spans="1:40" ht="15" customHeight="1">
      <c r="A77" t="str">
        <f t="shared" si="31"/>
        <v>Nucleo aventura</v>
      </c>
      <c r="C77" s="539">
        <f t="shared" si="32"/>
        <v>42916913.747441873</v>
      </c>
      <c r="D77" s="539"/>
      <c r="E77" s="539">
        <f t="shared" si="33"/>
        <v>600614.44373939687</v>
      </c>
      <c r="F77" s="539">
        <f t="shared" si="33"/>
        <v>1057986.2334412672</v>
      </c>
      <c r="G77" s="539">
        <f t="shared" si="33"/>
        <v>1414852.1521724898</v>
      </c>
      <c r="H77" s="539">
        <f t="shared" si="33"/>
        <v>1419070.2861490764</v>
      </c>
      <c r="I77" s="539">
        <f t="shared" si="33"/>
        <v>1423302.7617811835</v>
      </c>
      <c r="J77" s="539">
        <f t="shared" si="33"/>
        <v>1427549.6278304395</v>
      </c>
      <c r="K77" s="539">
        <f t="shared" si="33"/>
        <v>1431810.9332242629</v>
      </c>
      <c r="L77" s="539">
        <f t="shared" si="33"/>
        <v>1436086.7270564258</v>
      </c>
      <c r="M77" s="539">
        <f t="shared" si="33"/>
        <v>1440377.0585876179</v>
      </c>
      <c r="N77" s="539">
        <f t="shared" si="33"/>
        <v>1444681.9772460156</v>
      </c>
      <c r="O77" s="539">
        <f t="shared" si="33"/>
        <v>1449001.5326278522</v>
      </c>
      <c r="P77" s="539">
        <f t="shared" si="33"/>
        <v>1453335.774497987</v>
      </c>
      <c r="Q77" s="539">
        <f t="shared" si="33"/>
        <v>1457684.7527904804</v>
      </c>
      <c r="R77" s="539">
        <f t="shared" si="33"/>
        <v>1462048.5176091681</v>
      </c>
      <c r="S77" s="539">
        <f t="shared" si="33"/>
        <v>1466427.1192282394</v>
      </c>
      <c r="T77" s="539">
        <f t="shared" si="33"/>
        <v>1470820.6080928154</v>
      </c>
      <c r="U77" s="539">
        <f t="shared" si="33"/>
        <v>1475229.034819531</v>
      </c>
      <c r="V77" s="539">
        <f t="shared" si="33"/>
        <v>1479652.4501971176</v>
      </c>
      <c r="W77" s="539">
        <f t="shared" si="33"/>
        <v>1484090.9051869879</v>
      </c>
      <c r="X77" s="539">
        <f t="shared" si="33"/>
        <v>1488544.4509238235</v>
      </c>
      <c r="Y77" s="539">
        <f t="shared" si="33"/>
        <v>1493013.138716165</v>
      </c>
      <c r="Z77" s="539">
        <f t="shared" si="33"/>
        <v>1497497.0200469999</v>
      </c>
      <c r="AA77" s="539">
        <f t="shared" si="33"/>
        <v>1501996.1465743599</v>
      </c>
      <c r="AB77" s="539">
        <f t="shared" si="33"/>
        <v>1506510.5701319126</v>
      </c>
      <c r="AC77" s="539">
        <f t="shared" si="33"/>
        <v>1511040.342729561</v>
      </c>
      <c r="AD77" s="539">
        <f t="shared" si="33"/>
        <v>1515585.516554042</v>
      </c>
      <c r="AE77" s="539">
        <f t="shared" si="33"/>
        <v>1520146.1439695256</v>
      </c>
      <c r="AF77" s="539">
        <f t="shared" si="33"/>
        <v>1524722.2775182221</v>
      </c>
      <c r="AG77" s="539">
        <f t="shared" si="33"/>
        <v>1529313.9699209838</v>
      </c>
      <c r="AH77" s="539">
        <f t="shared" si="33"/>
        <v>1533921.2740779156</v>
      </c>
      <c r="AI77" s="539">
        <f t="shared" si="33"/>
        <v>0</v>
      </c>
      <c r="AJ77" s="539">
        <f t="shared" si="33"/>
        <v>0</v>
      </c>
      <c r="AK77" s="539">
        <f t="shared" si="33"/>
        <v>0</v>
      </c>
      <c r="AL77" s="539">
        <f t="shared" si="33"/>
        <v>0</v>
      </c>
      <c r="AM77" s="539">
        <f t="shared" si="33"/>
        <v>0</v>
      </c>
      <c r="AN77" s="539">
        <f t="shared" si="33"/>
        <v>0</v>
      </c>
    </row>
    <row r="78" spans="1:40" ht="15" customHeight="1">
      <c r="A78" t="str">
        <f t="shared" si="31"/>
        <v>Camp infantil</v>
      </c>
      <c r="C78" s="539">
        <f t="shared" si="32"/>
        <v>73323681.866949677</v>
      </c>
      <c r="D78" s="539"/>
      <c r="E78" s="539">
        <f t="shared" si="33"/>
        <v>1026151.6626429718</v>
      </c>
      <c r="F78" s="539">
        <f t="shared" si="33"/>
        <v>1807572.8011799043</v>
      </c>
      <c r="G78" s="539">
        <f t="shared" si="33"/>
        <v>2417279.3436445193</v>
      </c>
      <c r="H78" s="539">
        <f t="shared" si="33"/>
        <v>2424486.0387855424</v>
      </c>
      <c r="I78" s="539">
        <f t="shared" si="33"/>
        <v>2431717.2366900458</v>
      </c>
      <c r="J78" s="539">
        <f t="shared" si="33"/>
        <v>2438973.0206674235</v>
      </c>
      <c r="K78" s="539">
        <f t="shared" si="33"/>
        <v>2446253.4743103245</v>
      </c>
      <c r="L78" s="539">
        <f t="shared" si="33"/>
        <v>2453558.681495612</v>
      </c>
      <c r="M78" s="539">
        <f t="shared" si="33"/>
        <v>2460888.7263853289</v>
      </c>
      <c r="N78" s="539">
        <f t="shared" si="33"/>
        <v>2468243.6934276707</v>
      </c>
      <c r="O78" s="539">
        <f t="shared" si="33"/>
        <v>2475623.667357957</v>
      </c>
      <c r="P78" s="539">
        <f t="shared" si="33"/>
        <v>2483028.7331996057</v>
      </c>
      <c r="Q78" s="539">
        <f t="shared" si="33"/>
        <v>2490458.9762651166</v>
      </c>
      <c r="R78" s="539">
        <f t="shared" si="33"/>
        <v>2497914.4821570497</v>
      </c>
      <c r="S78" s="539">
        <f t="shared" si="33"/>
        <v>2505395.3367690155</v>
      </c>
      <c r="T78" s="539">
        <f t="shared" si="33"/>
        <v>2512901.6262866622</v>
      </c>
      <c r="U78" s="539">
        <f t="shared" si="33"/>
        <v>2520433.4371886686</v>
      </c>
      <c r="V78" s="539">
        <f t="shared" si="33"/>
        <v>2527990.8562477422</v>
      </c>
      <c r="W78" s="539">
        <f t="shared" si="33"/>
        <v>2535573.9705316164</v>
      </c>
      <c r="X78" s="539">
        <f t="shared" si="33"/>
        <v>2543182.8674040553</v>
      </c>
      <c r="Y78" s="539">
        <f t="shared" si="33"/>
        <v>2550817.6345258616</v>
      </c>
      <c r="Z78" s="539">
        <f t="shared" si="33"/>
        <v>2558478.3598558814</v>
      </c>
      <c r="AA78" s="539">
        <f t="shared" si="33"/>
        <v>2566165.1316520232</v>
      </c>
      <c r="AB78" s="539">
        <f t="shared" si="33"/>
        <v>2573878.0384722715</v>
      </c>
      <c r="AC78" s="539">
        <f t="shared" si="33"/>
        <v>2581617.1691757091</v>
      </c>
      <c r="AD78" s="539">
        <f t="shared" si="33"/>
        <v>2589382.6129235388</v>
      </c>
      <c r="AE78" s="539">
        <f t="shared" si="33"/>
        <v>2597174.4591801106</v>
      </c>
      <c r="AF78" s="539">
        <f t="shared" si="33"/>
        <v>2604992.7977139549</v>
      </c>
      <c r="AG78" s="539">
        <f t="shared" si="33"/>
        <v>2612837.7185988137</v>
      </c>
      <c r="AH78" s="539">
        <f t="shared" si="33"/>
        <v>2620709.3122146823</v>
      </c>
      <c r="AI78" s="539">
        <f t="shared" si="33"/>
        <v>0</v>
      </c>
      <c r="AJ78" s="539">
        <f t="shared" si="33"/>
        <v>0</v>
      </c>
      <c r="AK78" s="539">
        <f t="shared" si="33"/>
        <v>0</v>
      </c>
      <c r="AL78" s="539">
        <f t="shared" si="33"/>
        <v>0</v>
      </c>
      <c r="AM78" s="539">
        <f t="shared" si="33"/>
        <v>0</v>
      </c>
      <c r="AN78" s="539">
        <f t="shared" si="33"/>
        <v>0</v>
      </c>
    </row>
    <row r="79" spans="1:40" ht="15" customHeight="1">
      <c r="A79" t="str">
        <f t="shared" si="31"/>
        <v>Receptivo de visitantes</v>
      </c>
      <c r="C79" s="539">
        <f t="shared" si="32"/>
        <v>128978039.15771005</v>
      </c>
      <c r="D79" s="539"/>
      <c r="E79" s="539">
        <f>E36*1000</f>
        <v>1793909.8950879872</v>
      </c>
      <c r="F79" s="539">
        <f t="shared" si="33"/>
        <v>3161310.8503679563</v>
      </c>
      <c r="G79" s="539">
        <f t="shared" si="33"/>
        <v>4229412.4096789425</v>
      </c>
      <c r="H79" s="539">
        <f t="shared" si="33"/>
        <v>4243792.4118718514</v>
      </c>
      <c r="I79" s="539">
        <f t="shared" si="33"/>
        <v>4258221.3060722165</v>
      </c>
      <c r="J79" s="539">
        <f t="shared" si="33"/>
        <v>4272699.258512862</v>
      </c>
      <c r="K79" s="539">
        <f t="shared" si="33"/>
        <v>4287226.435991806</v>
      </c>
      <c r="L79" s="539">
        <f t="shared" si="33"/>
        <v>4301803.0058741784</v>
      </c>
      <c r="M79" s="539">
        <f t="shared" si="33"/>
        <v>4316429.1360941511</v>
      </c>
      <c r="N79" s="539">
        <f t="shared" si="33"/>
        <v>4331104.9951568712</v>
      </c>
      <c r="O79" s="539">
        <f t="shared" si="33"/>
        <v>4345830.7521404056</v>
      </c>
      <c r="P79" s="539">
        <f t="shared" si="33"/>
        <v>4360606.576697683</v>
      </c>
      <c r="Q79" s="539">
        <f t="shared" si="33"/>
        <v>4375432.6390584558</v>
      </c>
      <c r="R79" s="539">
        <f t="shared" si="33"/>
        <v>4390309.1100312546</v>
      </c>
      <c r="S79" s="539">
        <f t="shared" si="33"/>
        <v>4405236.161005361</v>
      </c>
      <c r="T79" s="539">
        <f t="shared" si="33"/>
        <v>4420213.9639527798</v>
      </c>
      <c r="U79" s="539">
        <f t="shared" si="33"/>
        <v>4435242.6914302194</v>
      </c>
      <c r="V79" s="539">
        <f t="shared" si="33"/>
        <v>4450322.5165810827</v>
      </c>
      <c r="W79" s="539">
        <f t="shared" si="33"/>
        <v>4465453.6131374585</v>
      </c>
      <c r="X79" s="539">
        <f t="shared" si="33"/>
        <v>4480636.1554221259</v>
      </c>
      <c r="Y79" s="539">
        <f t="shared" si="33"/>
        <v>4495870.3183505619</v>
      </c>
      <c r="Z79" s="539">
        <f t="shared" si="33"/>
        <v>4511156.2774329539</v>
      </c>
      <c r="AA79" s="539">
        <f t="shared" si="33"/>
        <v>4526494.2087762263</v>
      </c>
      <c r="AB79" s="539">
        <f t="shared" si="33"/>
        <v>4541884.2890860662</v>
      </c>
      <c r="AC79" s="539">
        <f t="shared" si="33"/>
        <v>4557326.6956689581</v>
      </c>
      <c r="AD79" s="539">
        <f t="shared" si="33"/>
        <v>4572821.6064342335</v>
      </c>
      <c r="AE79" s="539">
        <f t="shared" si="33"/>
        <v>4588369.1998961102</v>
      </c>
      <c r="AF79" s="539">
        <f t="shared" si="33"/>
        <v>4603969.6551757567</v>
      </c>
      <c r="AG79" s="539">
        <f t="shared" si="33"/>
        <v>4619623.1520033544</v>
      </c>
      <c r="AH79" s="539">
        <f t="shared" si="33"/>
        <v>4635329.8707201667</v>
      </c>
      <c r="AI79" s="539">
        <f t="shared" si="33"/>
        <v>0</v>
      </c>
      <c r="AJ79" s="539">
        <f t="shared" si="33"/>
        <v>0</v>
      </c>
      <c r="AK79" s="539">
        <f t="shared" si="33"/>
        <v>0</v>
      </c>
      <c r="AL79" s="539">
        <f t="shared" si="33"/>
        <v>0</v>
      </c>
      <c r="AM79" s="539">
        <f t="shared" si="33"/>
        <v>0</v>
      </c>
      <c r="AN79" s="539">
        <f t="shared" si="33"/>
        <v>0</v>
      </c>
    </row>
    <row r="80" spans="1:40" ht="15" customHeight="1">
      <c r="A80" t="str">
        <f t="shared" si="31"/>
        <v xml:space="preserve">Estacionamento </v>
      </c>
      <c r="C80" s="539">
        <f t="shared" si="32"/>
        <v>73333266.469291374</v>
      </c>
      <c r="D80" s="539"/>
      <c r="E80" s="539">
        <f t="shared" si="33"/>
        <v>1054160.4198393819</v>
      </c>
      <c r="F80" s="539">
        <f t="shared" si="33"/>
        <v>1853582.4636167909</v>
      </c>
      <c r="G80" s="539">
        <f t="shared" si="33"/>
        <v>2474369.253642784</v>
      </c>
      <c r="H80" s="539">
        <f t="shared" si="33"/>
        <v>2477305.1707571694</v>
      </c>
      <c r="I80" s="539">
        <f t="shared" si="33"/>
        <v>2480251.0699897436</v>
      </c>
      <c r="J80" s="539">
        <f t="shared" si="33"/>
        <v>2483206.9852797091</v>
      </c>
      <c r="K80" s="539">
        <f t="shared" si="33"/>
        <v>2486172.9506816599</v>
      </c>
      <c r="L80" s="539">
        <f t="shared" si="33"/>
        <v>2489149.0003659781</v>
      </c>
      <c r="M80" s="539">
        <f t="shared" si="33"/>
        <v>2492135.1686192225</v>
      </c>
      <c r="N80" s="539">
        <f t="shared" si="33"/>
        <v>2495131.4898445276</v>
      </c>
      <c r="O80" s="539">
        <f t="shared" si="33"/>
        <v>2498137.9985619993</v>
      </c>
      <c r="P80" s="539">
        <f t="shared" si="33"/>
        <v>2501154.7294091098</v>
      </c>
      <c r="Q80" s="539">
        <f t="shared" si="33"/>
        <v>2504181.7171411011</v>
      </c>
      <c r="R80" s="539">
        <f t="shared" si="33"/>
        <v>2507218.9966313806</v>
      </c>
      <c r="S80" s="539">
        <f t="shared" si="33"/>
        <v>2510266.6028719274</v>
      </c>
      <c r="T80" s="539">
        <f t="shared" si="33"/>
        <v>2513324.570973692</v>
      </c>
      <c r="U80" s="539">
        <f t="shared" si="33"/>
        <v>2516392.9361670027</v>
      </c>
      <c r="V80" s="539">
        <f t="shared" si="33"/>
        <v>2519471.7338019707</v>
      </c>
      <c r="W80" s="539">
        <f t="shared" si="33"/>
        <v>2522560.9993488975</v>
      </c>
      <c r="X80" s="539">
        <f t="shared" si="33"/>
        <v>2525660.7683986835</v>
      </c>
      <c r="Y80" s="539">
        <f t="shared" si="33"/>
        <v>2528771.0766632394</v>
      </c>
      <c r="Z80" s="539">
        <f t="shared" si="33"/>
        <v>2531891.9599758945</v>
      </c>
      <c r="AA80" s="539">
        <f t="shared" si="33"/>
        <v>2535023.4542918121</v>
      </c>
      <c r="AB80" s="539">
        <f t="shared" si="33"/>
        <v>2538165.595688405</v>
      </c>
      <c r="AC80" s="539">
        <f t="shared" si="33"/>
        <v>2541318.4203657452</v>
      </c>
      <c r="AD80" s="539">
        <f t="shared" si="33"/>
        <v>2544481.964646989</v>
      </c>
      <c r="AE80" s="539">
        <f t="shared" si="33"/>
        <v>2547656.2649787888</v>
      </c>
      <c r="AF80" s="539">
        <f t="shared" si="33"/>
        <v>2550841.3579317168</v>
      </c>
      <c r="AG80" s="539">
        <f t="shared" si="33"/>
        <v>2554037.2802006844</v>
      </c>
      <c r="AH80" s="539">
        <f t="shared" si="33"/>
        <v>2557244.0686053666</v>
      </c>
      <c r="AI80" s="539">
        <f t="shared" si="33"/>
        <v>0</v>
      </c>
      <c r="AJ80" s="539">
        <f t="shared" si="33"/>
        <v>0</v>
      </c>
      <c r="AK80" s="539">
        <f t="shared" si="33"/>
        <v>0</v>
      </c>
      <c r="AL80" s="539">
        <f t="shared" si="33"/>
        <v>0</v>
      </c>
      <c r="AM80" s="539">
        <f t="shared" si="33"/>
        <v>0</v>
      </c>
      <c r="AN80" s="539">
        <f t="shared" si="33"/>
        <v>0</v>
      </c>
    </row>
    <row r="81" spans="1:40" ht="15" customHeight="1">
      <c r="A81" t="str">
        <f t="shared" si="31"/>
        <v>Mall de Conveniências</v>
      </c>
      <c r="C81" s="539">
        <f t="shared" si="32"/>
        <v>40847856.312658362</v>
      </c>
      <c r="D81" s="539"/>
      <c r="E81" s="539">
        <f t="shared" si="33"/>
        <v>597856.31265836</v>
      </c>
      <c r="F81" s="539">
        <f t="shared" si="33"/>
        <v>1050000</v>
      </c>
      <c r="G81" s="539">
        <f t="shared" si="33"/>
        <v>1400000</v>
      </c>
      <c r="H81" s="539">
        <f t="shared" si="33"/>
        <v>1400000</v>
      </c>
      <c r="I81" s="539">
        <f t="shared" si="33"/>
        <v>1400000</v>
      </c>
      <c r="J81" s="539">
        <f t="shared" si="33"/>
        <v>1400000</v>
      </c>
      <c r="K81" s="539">
        <f t="shared" si="33"/>
        <v>1400000</v>
      </c>
      <c r="L81" s="539">
        <f t="shared" si="33"/>
        <v>1400000</v>
      </c>
      <c r="M81" s="539">
        <f t="shared" si="33"/>
        <v>1400000</v>
      </c>
      <c r="N81" s="539">
        <f t="shared" si="33"/>
        <v>1400000</v>
      </c>
      <c r="O81" s="539">
        <f t="shared" ref="E81:AN83" si="34">O38*1000</f>
        <v>1400000</v>
      </c>
      <c r="P81" s="539">
        <f t="shared" si="34"/>
        <v>1400000</v>
      </c>
      <c r="Q81" s="539">
        <f t="shared" si="34"/>
        <v>1400000</v>
      </c>
      <c r="R81" s="539">
        <f t="shared" si="34"/>
        <v>1400000</v>
      </c>
      <c r="S81" s="539">
        <f t="shared" si="34"/>
        <v>1400000</v>
      </c>
      <c r="T81" s="539">
        <f t="shared" si="34"/>
        <v>1400000</v>
      </c>
      <c r="U81" s="539">
        <f t="shared" si="34"/>
        <v>1400000</v>
      </c>
      <c r="V81" s="539">
        <f t="shared" si="34"/>
        <v>1400000</v>
      </c>
      <c r="W81" s="539">
        <f t="shared" si="34"/>
        <v>1400000</v>
      </c>
      <c r="X81" s="539">
        <f t="shared" si="34"/>
        <v>1400000</v>
      </c>
      <c r="Y81" s="539">
        <f t="shared" si="34"/>
        <v>1400000</v>
      </c>
      <c r="Z81" s="539">
        <f t="shared" si="34"/>
        <v>1400000</v>
      </c>
      <c r="AA81" s="539">
        <f t="shared" si="34"/>
        <v>1400000</v>
      </c>
      <c r="AB81" s="539">
        <f t="shared" si="34"/>
        <v>1400000</v>
      </c>
      <c r="AC81" s="539">
        <f t="shared" si="34"/>
        <v>1400000</v>
      </c>
      <c r="AD81" s="539">
        <f t="shared" si="34"/>
        <v>1400000</v>
      </c>
      <c r="AE81" s="539">
        <f t="shared" si="34"/>
        <v>1400000</v>
      </c>
      <c r="AF81" s="539">
        <f t="shared" si="34"/>
        <v>1400000</v>
      </c>
      <c r="AG81" s="539">
        <f t="shared" si="34"/>
        <v>1400000</v>
      </c>
      <c r="AH81" s="539">
        <f t="shared" si="34"/>
        <v>1400000</v>
      </c>
      <c r="AI81" s="539">
        <f t="shared" si="34"/>
        <v>0</v>
      </c>
      <c r="AJ81" s="539">
        <f t="shared" si="34"/>
        <v>0</v>
      </c>
      <c r="AK81" s="539">
        <f t="shared" si="34"/>
        <v>0</v>
      </c>
      <c r="AL81" s="539">
        <f t="shared" si="34"/>
        <v>0</v>
      </c>
      <c r="AM81" s="539">
        <f t="shared" si="34"/>
        <v>0</v>
      </c>
      <c r="AN81" s="539">
        <f t="shared" si="34"/>
        <v>0</v>
      </c>
    </row>
    <row r="82" spans="1:40" ht="15" customHeight="1">
      <c r="A82" t="str">
        <f>A39</f>
        <v>Eventos</v>
      </c>
      <c r="C82" s="539">
        <f t="shared" si="32"/>
        <v>1710680.1076346694</v>
      </c>
      <c r="D82" s="539"/>
      <c r="E82" s="539">
        <f t="shared" si="34"/>
        <v>25037.810881927046</v>
      </c>
      <c r="F82" s="539">
        <f t="shared" si="34"/>
        <v>43973.277306593292</v>
      </c>
      <c r="G82" s="539">
        <f t="shared" si="34"/>
        <v>58631.036408791049</v>
      </c>
      <c r="H82" s="539">
        <f t="shared" si="34"/>
        <v>58631.036408791049</v>
      </c>
      <c r="I82" s="539">
        <f t="shared" si="34"/>
        <v>58631.036408791049</v>
      </c>
      <c r="J82" s="539">
        <f t="shared" si="34"/>
        <v>58631.036408791049</v>
      </c>
      <c r="K82" s="539">
        <f t="shared" si="34"/>
        <v>58631.036408791049</v>
      </c>
      <c r="L82" s="539">
        <f t="shared" si="34"/>
        <v>58631.036408791049</v>
      </c>
      <c r="M82" s="539">
        <f t="shared" si="34"/>
        <v>58631.036408791049</v>
      </c>
      <c r="N82" s="539">
        <f t="shared" si="34"/>
        <v>58631.036408791049</v>
      </c>
      <c r="O82" s="539">
        <f t="shared" si="34"/>
        <v>58631.036408791049</v>
      </c>
      <c r="P82" s="539">
        <f t="shared" si="34"/>
        <v>58631.036408791049</v>
      </c>
      <c r="Q82" s="539">
        <f t="shared" si="34"/>
        <v>58631.036408791049</v>
      </c>
      <c r="R82" s="539">
        <f t="shared" si="34"/>
        <v>58631.036408791049</v>
      </c>
      <c r="S82" s="539">
        <f t="shared" si="34"/>
        <v>58631.036408791049</v>
      </c>
      <c r="T82" s="539">
        <f t="shared" si="34"/>
        <v>58631.036408791049</v>
      </c>
      <c r="U82" s="539">
        <f t="shared" si="34"/>
        <v>58631.036408791049</v>
      </c>
      <c r="V82" s="539">
        <f t="shared" si="34"/>
        <v>58631.036408791049</v>
      </c>
      <c r="W82" s="539">
        <f t="shared" si="34"/>
        <v>58631.036408791049</v>
      </c>
      <c r="X82" s="539">
        <f t="shared" si="34"/>
        <v>58631.036408791049</v>
      </c>
      <c r="Y82" s="539">
        <f t="shared" si="34"/>
        <v>58631.036408791049</v>
      </c>
      <c r="Z82" s="539">
        <f t="shared" si="34"/>
        <v>58631.036408791049</v>
      </c>
      <c r="AA82" s="539">
        <f t="shared" si="34"/>
        <v>58631.036408791049</v>
      </c>
      <c r="AB82" s="539">
        <f t="shared" si="34"/>
        <v>58631.036408791049</v>
      </c>
      <c r="AC82" s="539">
        <f t="shared" si="34"/>
        <v>58631.036408791049</v>
      </c>
      <c r="AD82" s="539">
        <f t="shared" si="34"/>
        <v>58631.036408791049</v>
      </c>
      <c r="AE82" s="539">
        <f t="shared" si="34"/>
        <v>58631.036408791049</v>
      </c>
      <c r="AF82" s="539">
        <f t="shared" si="34"/>
        <v>58631.036408791049</v>
      </c>
      <c r="AG82" s="539">
        <f t="shared" si="34"/>
        <v>58631.036408791049</v>
      </c>
      <c r="AH82" s="539">
        <f t="shared" si="34"/>
        <v>58631.036408791049</v>
      </c>
      <c r="AI82" s="539">
        <f t="shared" si="34"/>
        <v>0</v>
      </c>
      <c r="AJ82" s="539">
        <f t="shared" si="34"/>
        <v>0</v>
      </c>
      <c r="AK82" s="539">
        <f t="shared" si="34"/>
        <v>0</v>
      </c>
      <c r="AL82" s="539">
        <f t="shared" si="34"/>
        <v>0</v>
      </c>
      <c r="AM82" s="539">
        <f t="shared" si="34"/>
        <v>0</v>
      </c>
      <c r="AN82" s="539">
        <f t="shared" si="34"/>
        <v>0</v>
      </c>
    </row>
    <row r="83" spans="1:40" ht="15" customHeight="1">
      <c r="A83" t="str">
        <f t="shared" si="31"/>
        <v>Total de receitas</v>
      </c>
      <c r="C83" s="539">
        <f t="shared" si="32"/>
        <v>399211390.91758245</v>
      </c>
      <c r="D83" s="539"/>
      <c r="E83" s="539">
        <f t="shared" si="34"/>
        <v>5630946.4927720744</v>
      </c>
      <c r="F83" s="539">
        <f t="shared" si="34"/>
        <v>9913688.9723625015</v>
      </c>
      <c r="G83" s="539">
        <f t="shared" si="34"/>
        <v>13250627.42723475</v>
      </c>
      <c r="H83" s="539">
        <f t="shared" si="34"/>
        <v>13283112.967897393</v>
      </c>
      <c r="I83" s="539">
        <f t="shared" si="34"/>
        <v>13315708.959398286</v>
      </c>
      <c r="J83" s="539">
        <f t="shared" si="34"/>
        <v>13348415.777270284</v>
      </c>
      <c r="K83" s="539">
        <f t="shared" si="34"/>
        <v>13381233.798323046</v>
      </c>
      <c r="L83" s="539">
        <f t="shared" si="34"/>
        <v>13414163.400647387</v>
      </c>
      <c r="M83" s="539">
        <f t="shared" si="34"/>
        <v>13447204.963619629</v>
      </c>
      <c r="N83" s="539">
        <f t="shared" si="34"/>
        <v>13480358.867905978</v>
      </c>
      <c r="O83" s="539">
        <f t="shared" si="34"/>
        <v>13513625.495466903</v>
      </c>
      <c r="P83" s="539">
        <f t="shared" si="34"/>
        <v>13547005.229561532</v>
      </c>
      <c r="Q83" s="539">
        <f t="shared" si="34"/>
        <v>13580498.454752084</v>
      </c>
      <c r="R83" s="539">
        <f t="shared" si="34"/>
        <v>13614105.556908285</v>
      </c>
      <c r="S83" s="539">
        <f t="shared" si="34"/>
        <v>13647826.923211813</v>
      </c>
      <c r="T83" s="539">
        <f t="shared" si="34"/>
        <v>13681662.942160776</v>
      </c>
      <c r="U83" s="539">
        <f t="shared" si="34"/>
        <v>13715614.003574166</v>
      </c>
      <c r="V83" s="539">
        <f t="shared" si="34"/>
        <v>13749680.498596363</v>
      </c>
      <c r="W83" s="539">
        <f t="shared" si="34"/>
        <v>13783862.819701632</v>
      </c>
      <c r="X83" s="539">
        <f t="shared" si="34"/>
        <v>13818161.360698657</v>
      </c>
      <c r="Y83" s="539">
        <f t="shared" si="34"/>
        <v>13852576.516735079</v>
      </c>
      <c r="Z83" s="539">
        <f t="shared" si="34"/>
        <v>13887108.684302021</v>
      </c>
      <c r="AA83" s="539">
        <f t="shared" si="34"/>
        <v>13921758.261238689</v>
      </c>
      <c r="AB83" s="539">
        <f t="shared" si="34"/>
        <v>13956525.646736944</v>
      </c>
      <c r="AC83" s="539">
        <f t="shared" si="34"/>
        <v>13991411.24134589</v>
      </c>
      <c r="AD83" s="539">
        <f t="shared" si="34"/>
        <v>14026415.446976511</v>
      </c>
      <c r="AE83" s="539">
        <f t="shared" si="34"/>
        <v>14061538.666906271</v>
      </c>
      <c r="AF83" s="539">
        <f t="shared" si="34"/>
        <v>14096781.305783795</v>
      </c>
      <c r="AG83" s="539">
        <f t="shared" si="34"/>
        <v>14132143.7696335</v>
      </c>
      <c r="AH83" s="539">
        <f t="shared" si="34"/>
        <v>14167626.4658603</v>
      </c>
      <c r="AI83" s="539">
        <f t="shared" si="34"/>
        <v>0</v>
      </c>
      <c r="AJ83" s="539">
        <f t="shared" si="34"/>
        <v>0</v>
      </c>
      <c r="AK83" s="539">
        <f t="shared" si="34"/>
        <v>0</v>
      </c>
      <c r="AL83" s="539">
        <f t="shared" si="34"/>
        <v>0</v>
      </c>
      <c r="AM83" s="539">
        <f t="shared" si="34"/>
        <v>0</v>
      </c>
      <c r="AN83" s="539">
        <f t="shared" si="34"/>
        <v>0</v>
      </c>
    </row>
    <row r="86" spans="1:40" ht="15" customHeight="1">
      <c r="A86" s="597" t="str">
        <f>A74</f>
        <v>RECEITAS - BASE</v>
      </c>
      <c r="B86" s="598">
        <f>I74</f>
        <v>5</v>
      </c>
      <c r="C86" s="598">
        <f>N74</f>
        <v>10</v>
      </c>
      <c r="D86" s="598">
        <f>S74</f>
        <v>15</v>
      </c>
      <c r="E86" s="598">
        <f>X74</f>
        <v>20</v>
      </c>
      <c r="F86" s="598">
        <f>AC74</f>
        <v>25</v>
      </c>
      <c r="G86" s="598">
        <f>AH74</f>
        <v>30</v>
      </c>
    </row>
    <row r="87" spans="1:40" ht="15" customHeight="1">
      <c r="A87" t="str">
        <f t="shared" ref="A87:A95" si="35">A75</f>
        <v>Charrete</v>
      </c>
      <c r="B87" s="537">
        <f>I75</f>
        <v>50543.421938252257</v>
      </c>
      <c r="C87" s="537">
        <f t="shared" ref="C87:C95" si="36">J75</f>
        <v>50694.233942842315</v>
      </c>
      <c r="D87" s="537">
        <f t="shared" ref="D87:D95" si="37">K75</f>
        <v>50845.558708247976</v>
      </c>
      <c r="E87" s="537">
        <f t="shared" ref="E87:E95" si="38">L75</f>
        <v>50997.397977856032</v>
      </c>
      <c r="F87" s="537">
        <f t="shared" ref="F87:F95" si="39">M75</f>
        <v>51149.753500980747</v>
      </c>
      <c r="G87" s="537">
        <f t="shared" ref="G87:G95" si="40">N75</f>
        <v>51302.627032884076</v>
      </c>
    </row>
    <row r="88" spans="1:40" ht="15" customHeight="1">
      <c r="A88" t="str">
        <f t="shared" si="35"/>
        <v>Ecoterapia</v>
      </c>
      <c r="B88" s="537">
        <f t="shared" ref="B87:B95" si="41">I76</f>
        <v>1213042.1265180542</v>
      </c>
      <c r="C88" s="537">
        <f t="shared" si="36"/>
        <v>1216661.6146282156</v>
      </c>
      <c r="D88" s="537">
        <f t="shared" si="37"/>
        <v>1220293.4089979515</v>
      </c>
      <c r="E88" s="537">
        <f t="shared" si="38"/>
        <v>1223937.5514685446</v>
      </c>
      <c r="F88" s="537">
        <f t="shared" si="39"/>
        <v>1227594.084023538</v>
      </c>
      <c r="G88" s="537">
        <f t="shared" si="40"/>
        <v>1231263.0487892178</v>
      </c>
    </row>
    <row r="89" spans="1:40" ht="15" customHeight="1">
      <c r="A89" t="str">
        <f t="shared" si="35"/>
        <v>Nucleo aventura</v>
      </c>
      <c r="B89" s="537">
        <f t="shared" si="41"/>
        <v>1423302.7617811835</v>
      </c>
      <c r="C89" s="537">
        <f t="shared" si="36"/>
        <v>1427549.6278304395</v>
      </c>
      <c r="D89" s="537">
        <f t="shared" si="37"/>
        <v>1431810.9332242629</v>
      </c>
      <c r="E89" s="537">
        <f t="shared" si="38"/>
        <v>1436086.7270564258</v>
      </c>
      <c r="F89" s="537">
        <f t="shared" si="39"/>
        <v>1440377.0585876179</v>
      </c>
      <c r="G89" s="537">
        <f t="shared" si="40"/>
        <v>1444681.9772460156</v>
      </c>
    </row>
    <row r="90" spans="1:40" ht="15" customHeight="1">
      <c r="A90" t="str">
        <f t="shared" si="35"/>
        <v>Camp infantil</v>
      </c>
      <c r="B90" s="537">
        <f t="shared" si="41"/>
        <v>2431717.2366900458</v>
      </c>
      <c r="C90" s="537">
        <f t="shared" si="36"/>
        <v>2438973.0206674235</v>
      </c>
      <c r="D90" s="537">
        <f t="shared" si="37"/>
        <v>2446253.4743103245</v>
      </c>
      <c r="E90" s="537">
        <f t="shared" si="38"/>
        <v>2453558.681495612</v>
      </c>
      <c r="F90" s="537">
        <f t="shared" si="39"/>
        <v>2460888.7263853289</v>
      </c>
      <c r="G90" s="537">
        <f t="shared" si="40"/>
        <v>2468243.6934276707</v>
      </c>
    </row>
    <row r="91" spans="1:40" ht="15" customHeight="1">
      <c r="A91" t="str">
        <f t="shared" si="35"/>
        <v>Receptivo de visitantes</v>
      </c>
      <c r="B91" s="537">
        <f t="shared" si="41"/>
        <v>4258221.3060722165</v>
      </c>
      <c r="C91" s="537">
        <f t="shared" si="36"/>
        <v>4272699.258512862</v>
      </c>
      <c r="D91" s="537">
        <f t="shared" si="37"/>
        <v>4287226.435991806</v>
      </c>
      <c r="E91" s="537">
        <f t="shared" si="38"/>
        <v>4301803.0058741784</v>
      </c>
      <c r="F91" s="537">
        <f t="shared" si="39"/>
        <v>4316429.1360941511</v>
      </c>
      <c r="G91" s="537">
        <f t="shared" si="40"/>
        <v>4331104.9951568712</v>
      </c>
    </row>
    <row r="92" spans="1:40" ht="15" customHeight="1">
      <c r="A92" t="str">
        <f t="shared" si="35"/>
        <v xml:space="preserve">Estacionamento </v>
      </c>
      <c r="B92" s="537">
        <f t="shared" si="41"/>
        <v>2480251.0699897436</v>
      </c>
      <c r="C92" s="537">
        <f t="shared" si="36"/>
        <v>2483206.9852797091</v>
      </c>
      <c r="D92" s="537">
        <f t="shared" si="37"/>
        <v>2486172.9506816599</v>
      </c>
      <c r="E92" s="537">
        <f t="shared" si="38"/>
        <v>2489149.0003659781</v>
      </c>
      <c r="F92" s="537">
        <f t="shared" si="39"/>
        <v>2492135.1686192225</v>
      </c>
      <c r="G92" s="537">
        <f t="shared" si="40"/>
        <v>2495131.4898445276</v>
      </c>
    </row>
    <row r="93" spans="1:40" ht="15" customHeight="1">
      <c r="A93" t="str">
        <f t="shared" si="35"/>
        <v>Mall de Conveniências</v>
      </c>
      <c r="B93" s="537">
        <f t="shared" si="41"/>
        <v>1400000</v>
      </c>
      <c r="C93" s="537">
        <f t="shared" si="36"/>
        <v>1400000</v>
      </c>
      <c r="D93" s="537">
        <f t="shared" si="37"/>
        <v>1400000</v>
      </c>
      <c r="E93" s="537">
        <f t="shared" si="38"/>
        <v>1400000</v>
      </c>
      <c r="F93" s="537">
        <f t="shared" si="39"/>
        <v>1400000</v>
      </c>
      <c r="G93" s="537">
        <f t="shared" si="40"/>
        <v>1400000</v>
      </c>
    </row>
    <row r="94" spans="1:40" ht="15" customHeight="1">
      <c r="A94" t="str">
        <f t="shared" si="35"/>
        <v>Eventos</v>
      </c>
      <c r="B94" s="537">
        <f t="shared" si="41"/>
        <v>58631.036408791049</v>
      </c>
      <c r="C94" s="537">
        <f t="shared" si="36"/>
        <v>58631.036408791049</v>
      </c>
      <c r="D94" s="537">
        <f t="shared" si="37"/>
        <v>58631.036408791049</v>
      </c>
      <c r="E94" s="537">
        <f t="shared" si="38"/>
        <v>58631.036408791049</v>
      </c>
      <c r="F94" s="537">
        <f t="shared" si="39"/>
        <v>58631.036408791049</v>
      </c>
      <c r="G94" s="537">
        <f t="shared" si="40"/>
        <v>58631.036408791049</v>
      </c>
    </row>
    <row r="95" spans="1:40" ht="15" customHeight="1">
      <c r="A95" s="600" t="str">
        <f t="shared" si="35"/>
        <v>Total de receitas</v>
      </c>
      <c r="B95" s="599">
        <f t="shared" si="41"/>
        <v>13315708.959398286</v>
      </c>
      <c r="C95" s="599">
        <f t="shared" si="36"/>
        <v>13348415.777270284</v>
      </c>
      <c r="D95" s="599">
        <f t="shared" si="37"/>
        <v>13381233.798323046</v>
      </c>
      <c r="E95" s="599">
        <f t="shared" si="38"/>
        <v>13414163.400647387</v>
      </c>
      <c r="F95" s="599">
        <f t="shared" si="39"/>
        <v>13447204.963619629</v>
      </c>
      <c r="G95" s="599">
        <f t="shared" si="40"/>
        <v>13480358.867905978</v>
      </c>
    </row>
  </sheetData>
  <sheetProtection password="C643" sheet="1" objects="1" scenarios="1"/>
  <pageMargins left="0.511811024" right="0.511811024" top="0.78740157499999996" bottom="0.78740157499999996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33"/>
  <sheetViews>
    <sheetView topLeftCell="A18" workbookViewId="0">
      <selection activeCell="G68" sqref="G68"/>
    </sheetView>
  </sheetViews>
  <sheetFormatPr defaultColWidth="8.85546875" defaultRowHeight="15"/>
  <cols>
    <col min="1" max="1" width="8.85546875" style="446"/>
    <col min="2" max="2" width="44.7109375" style="446" bestFit="1" customWidth="1"/>
    <col min="3" max="3" width="7.140625" style="446" bestFit="1" customWidth="1"/>
    <col min="4" max="4" width="80.5703125" style="446" bestFit="1" customWidth="1"/>
    <col min="5" max="16384" width="8.85546875" style="446"/>
  </cols>
  <sheetData>
    <row r="2" spans="2:4">
      <c r="B2" s="472" t="s">
        <v>184</v>
      </c>
      <c r="C2" s="471" t="s">
        <v>10</v>
      </c>
    </row>
    <row r="3" spans="2:4">
      <c r="B3" s="448" t="s">
        <v>185</v>
      </c>
      <c r="C3" s="463">
        <v>0.77669999999999995</v>
      </c>
      <c r="D3" s="341" t="s">
        <v>186</v>
      </c>
    </row>
    <row r="4" spans="2:4">
      <c r="B4" s="448" t="s">
        <v>187</v>
      </c>
      <c r="C4" s="463">
        <v>0.2233</v>
      </c>
      <c r="D4" s="341" t="s">
        <v>186</v>
      </c>
    </row>
    <row r="5" spans="2:4">
      <c r="B5" s="448" t="s">
        <v>188</v>
      </c>
      <c r="C5" s="447">
        <f>C4/C3</f>
        <v>0.28749839062701171</v>
      </c>
    </row>
    <row r="6" spans="2:4">
      <c r="B6" s="470"/>
      <c r="C6" s="468"/>
    </row>
    <row r="7" spans="2:4">
      <c r="B7" s="460" t="s">
        <v>189</v>
      </c>
      <c r="C7" s="468"/>
    </row>
    <row r="8" spans="2:4">
      <c r="B8" s="448" t="s">
        <v>190</v>
      </c>
      <c r="C8" s="463">
        <v>3.5000000000000003E-2</v>
      </c>
      <c r="D8" s="341" t="s">
        <v>191</v>
      </c>
    </row>
    <row r="9" spans="2:4">
      <c r="B9" s="448" t="s">
        <v>192</v>
      </c>
      <c r="C9" s="463">
        <f>C8+C10</f>
        <v>8.5000000000000006E-2</v>
      </c>
    </row>
    <row r="10" spans="2:4">
      <c r="B10" s="448" t="s">
        <v>193</v>
      </c>
      <c r="C10" s="447">
        <v>0.05</v>
      </c>
      <c r="D10" s="341" t="s">
        <v>191</v>
      </c>
    </row>
    <row r="11" spans="2:4">
      <c r="B11" s="448" t="s">
        <v>194</v>
      </c>
      <c r="C11" s="469">
        <v>0.99</v>
      </c>
    </row>
    <row r="12" spans="2:4">
      <c r="B12" s="448" t="s">
        <v>195</v>
      </c>
      <c r="C12" s="463">
        <v>0.04</v>
      </c>
    </row>
    <row r="13" spans="2:4">
      <c r="B13" s="462" t="s">
        <v>196</v>
      </c>
      <c r="C13" s="461">
        <f>C8+C10*C11+C12</f>
        <v>0.1245</v>
      </c>
    </row>
    <row r="14" spans="2:4">
      <c r="B14" s="467" t="s">
        <v>197</v>
      </c>
      <c r="C14" s="466">
        <f>((1+C13)/(1+C17))-1</f>
        <v>9.9217986314760642E-2</v>
      </c>
    </row>
    <row r="15" spans="2:4">
      <c r="B15" s="448" t="s">
        <v>198</v>
      </c>
      <c r="C15" s="463">
        <v>4.3999999999999997E-2</v>
      </c>
    </row>
    <row r="16" spans="2:4">
      <c r="B16" s="465" t="s">
        <v>199</v>
      </c>
      <c r="C16" s="464">
        <f>C13+C15</f>
        <v>0.16849999999999998</v>
      </c>
    </row>
    <row r="17" spans="2:3">
      <c r="B17" s="448" t="s">
        <v>200</v>
      </c>
      <c r="C17" s="463">
        <v>2.3E-2</v>
      </c>
    </row>
    <row r="18" spans="2:3">
      <c r="B18" s="462" t="s">
        <v>201</v>
      </c>
      <c r="C18" s="461">
        <f>((1+C16)/(1+C17))-1</f>
        <v>0.14222873900293242</v>
      </c>
    </row>
    <row r="19" spans="2:3">
      <c r="B19" s="448" t="s">
        <v>202</v>
      </c>
      <c r="C19" s="455">
        <v>3.6799999999999999E-2</v>
      </c>
    </row>
    <row r="20" spans="2:3">
      <c r="B20" s="448" t="s">
        <v>203</v>
      </c>
      <c r="C20" s="455">
        <f>((1+C19)/(1+C17))-1</f>
        <v>1.3489736070381175E-2</v>
      </c>
    </row>
    <row r="21" spans="2:3">
      <c r="B21" s="454" t="s">
        <v>204</v>
      </c>
      <c r="C21" s="453">
        <f>((1+C18)/(1+C20))-1</f>
        <v>0.1270254629629628</v>
      </c>
    </row>
    <row r="23" spans="2:3">
      <c r="B23" s="460" t="s">
        <v>205</v>
      </c>
    </row>
    <row r="24" spans="2:3">
      <c r="B24" s="448" t="s">
        <v>206</v>
      </c>
      <c r="C24" s="459">
        <v>0.13619999999999999</v>
      </c>
    </row>
    <row r="25" spans="2:3">
      <c r="B25" s="448" t="s">
        <v>207</v>
      </c>
      <c r="C25" s="459">
        <v>0</v>
      </c>
    </row>
    <row r="26" spans="2:3">
      <c r="B26" s="448" t="s">
        <v>208</v>
      </c>
      <c r="C26" s="458">
        <v>0</v>
      </c>
    </row>
    <row r="27" spans="2:3">
      <c r="B27" s="450" t="s">
        <v>209</v>
      </c>
      <c r="C27" s="449">
        <f>((1+C24)*(1+C25)*(1+C26))-1</f>
        <v>0.1362000000000001</v>
      </c>
    </row>
    <row r="28" spans="2:3">
      <c r="B28" s="457" t="s">
        <v>210</v>
      </c>
      <c r="C28" s="456">
        <v>0.34</v>
      </c>
    </row>
    <row r="29" spans="2:3">
      <c r="B29" s="450" t="s">
        <v>211</v>
      </c>
      <c r="C29" s="449">
        <f>C27*(1-C28)</f>
        <v>8.9892000000000055E-2</v>
      </c>
    </row>
    <row r="30" spans="2:3">
      <c r="B30" s="446" t="str">
        <f>B19</f>
        <v>Inflação Brasileira</v>
      </c>
      <c r="C30" s="455">
        <f>C19</f>
        <v>3.6799999999999999E-2</v>
      </c>
    </row>
    <row r="31" spans="2:3">
      <c r="B31" s="454" t="s">
        <v>212</v>
      </c>
      <c r="C31" s="453">
        <f>((1+C29)/(1+C30))-1</f>
        <v>5.1207561728395135E-2</v>
      </c>
    </row>
    <row r="33" spans="2:3">
      <c r="B33" s="452" t="s">
        <v>10</v>
      </c>
      <c r="C33" s="451">
        <f>C3*C21+C31*C4</f>
        <v>0.11009532561728384</v>
      </c>
    </row>
  </sheetData>
  <sheetProtection password="C643" sheet="1" objects="1" scenarios="1"/>
  <hyperlinks>
    <hyperlink ref="D3" r:id="rId1" display="https://pages.stern.nyu.edu/~adamodar/New_Home_Page/datafile/optvar.html" xr:uid="{00000000-0004-0000-0600-000000000000}"/>
    <hyperlink ref="D4" r:id="rId2" display="https://pages.stern.nyu.edu/~adamodar/New_Home_Page/datafile/optvar.html" xr:uid="{00000000-0004-0000-0600-000001000000}"/>
    <hyperlink ref="D8" r:id="rId3" display="https://www.kroll.com/en/insights/publications/cost-of-capital/recommended-us-equity-risk-premium-and-corresponding-risk-free-rates" xr:uid="{00000000-0004-0000-0600-000002000000}"/>
    <hyperlink ref="D10" r:id="rId4" display="https://www.kroll.com/en/insights/publications/cost-of-capital/recommended-us-equity-risk-premium-and-corresponding-risk-free-rates" xr:uid="{00000000-0004-0000-0600-000003000000}"/>
  </hyperlinks>
  <pageMargins left="0.511811024" right="0.511811024" top="0.78740157499999996" bottom="0.78740157499999996" header="0.31496062000000002" footer="0.31496062000000002"/>
  <pageSetup paperSize="9" orientation="portrait" horizontalDpi="360" verticalDpi="36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N29"/>
  <sheetViews>
    <sheetView showGridLines="0" zoomScale="85" zoomScaleNormal="85" zoomScaleSheetLayoutView="80" workbookViewId="0">
      <pane ySplit="3" topLeftCell="A19" activePane="bottomLeft" state="frozen"/>
      <selection pane="bottomLeft" activeCell="J36" sqref="J36"/>
      <selection activeCell="G68" sqref="G68"/>
    </sheetView>
  </sheetViews>
  <sheetFormatPr defaultColWidth="14.42578125" defaultRowHeight="15" customHeight="1"/>
  <cols>
    <col min="1" max="1" width="41.5703125" bestFit="1" customWidth="1"/>
    <col min="2" max="2" width="10.85546875" bestFit="1" customWidth="1"/>
    <col min="3" max="3" width="3.85546875" bestFit="1" customWidth="1"/>
    <col min="4" max="4" width="9.85546875" bestFit="1" customWidth="1"/>
    <col min="5" max="5" width="7.7109375" bestFit="1" customWidth="1"/>
    <col min="6" max="34" width="7" bestFit="1" customWidth="1"/>
    <col min="35" max="40" width="5.140625" bestFit="1" customWidth="1"/>
    <col min="41" max="59" width="12.42578125" customWidth="1"/>
  </cols>
  <sheetData>
    <row r="1" spans="1:40" s="148" customFormat="1" ht="12.75" customHeight="1">
      <c r="A1" s="158" t="s">
        <v>213</v>
      </c>
      <c r="B1" s="159"/>
      <c r="C1" s="159"/>
      <c r="D1" s="158"/>
      <c r="E1" s="158">
        <f>DRE!E1</f>
        <v>2025</v>
      </c>
      <c r="F1" s="158">
        <f>DRE!F1</f>
        <v>2026</v>
      </c>
      <c r="G1" s="158">
        <f>DRE!G1</f>
        <v>2027</v>
      </c>
      <c r="H1" s="158">
        <f>DRE!H1</f>
        <v>2028</v>
      </c>
      <c r="I1" s="158">
        <f>DRE!I1</f>
        <v>2029</v>
      </c>
      <c r="J1" s="158">
        <f>DRE!J1</f>
        <v>2030</v>
      </c>
      <c r="K1" s="158">
        <f>DRE!K1</f>
        <v>2031</v>
      </c>
      <c r="L1" s="158">
        <f>DRE!L1</f>
        <v>2032</v>
      </c>
      <c r="M1" s="158">
        <f>DRE!M1</f>
        <v>2033</v>
      </c>
      <c r="N1" s="158">
        <f>DRE!N1</f>
        <v>2034</v>
      </c>
      <c r="O1" s="158">
        <f>DRE!O1</f>
        <v>2035</v>
      </c>
      <c r="P1" s="158">
        <f>DRE!P1</f>
        <v>2036</v>
      </c>
      <c r="Q1" s="158">
        <f>DRE!Q1</f>
        <v>2037</v>
      </c>
      <c r="R1" s="158">
        <f>DRE!R1</f>
        <v>2038</v>
      </c>
      <c r="S1" s="158">
        <f>DRE!S1</f>
        <v>2039</v>
      </c>
      <c r="T1" s="158">
        <f>DRE!T1</f>
        <v>2040</v>
      </c>
      <c r="U1" s="158">
        <f>DRE!U1</f>
        <v>2041</v>
      </c>
      <c r="V1" s="158">
        <f>DRE!V1</f>
        <v>2042</v>
      </c>
      <c r="W1" s="158">
        <f>DRE!W1</f>
        <v>2043</v>
      </c>
      <c r="X1" s="158">
        <f>DRE!X1</f>
        <v>2044</v>
      </c>
      <c r="Y1" s="158">
        <f>DRE!Y1</f>
        <v>2045</v>
      </c>
      <c r="Z1" s="158">
        <f>DRE!Z1</f>
        <v>2046</v>
      </c>
      <c r="AA1" s="158">
        <f>DRE!AA1</f>
        <v>2047</v>
      </c>
      <c r="AB1" s="158">
        <f>DRE!AB1</f>
        <v>2048</v>
      </c>
      <c r="AC1" s="158">
        <f>DRE!AC1</f>
        <v>2049</v>
      </c>
      <c r="AD1" s="158">
        <f>DRE!AD1</f>
        <v>2050</v>
      </c>
      <c r="AE1" s="158">
        <f>DRE!AE1</f>
        <v>2051</v>
      </c>
      <c r="AF1" s="158">
        <f>DRE!AF1</f>
        <v>2052</v>
      </c>
      <c r="AG1" s="158">
        <f>DRE!AG1</f>
        <v>2053</v>
      </c>
      <c r="AH1" s="158">
        <f>DRE!AH1</f>
        <v>2054</v>
      </c>
      <c r="AI1" s="158">
        <f>DRE!AI1</f>
        <v>2055</v>
      </c>
      <c r="AJ1" s="158">
        <f>DRE!AJ1</f>
        <v>2056</v>
      </c>
      <c r="AK1" s="158">
        <f>DRE!AK1</f>
        <v>2057</v>
      </c>
      <c r="AL1" s="158">
        <f>DRE!AL1</f>
        <v>2058</v>
      </c>
      <c r="AM1" s="158">
        <f>DRE!AM1</f>
        <v>2059</v>
      </c>
      <c r="AN1" s="158">
        <f>DRE!AN1</f>
        <v>2060</v>
      </c>
    </row>
    <row r="2" spans="1:40" s="163" customFormat="1" ht="12.75" customHeight="1">
      <c r="A2" s="161" t="s">
        <v>107</v>
      </c>
      <c r="B2" s="161"/>
      <c r="C2" s="161"/>
      <c r="D2" s="162"/>
      <c r="E2" s="161">
        <f>DRE!E2</f>
        <v>1</v>
      </c>
      <c r="F2" s="161">
        <f>DRE!F2</f>
        <v>2</v>
      </c>
      <c r="G2" s="161">
        <f>DRE!G2</f>
        <v>3</v>
      </c>
      <c r="H2" s="161">
        <f>DRE!H2</f>
        <v>4</v>
      </c>
      <c r="I2" s="161">
        <f>DRE!I2</f>
        <v>5</v>
      </c>
      <c r="J2" s="161">
        <f>DRE!J2</f>
        <v>6</v>
      </c>
      <c r="K2" s="161">
        <f>DRE!K2</f>
        <v>7</v>
      </c>
      <c r="L2" s="161">
        <f>DRE!L2</f>
        <v>8</v>
      </c>
      <c r="M2" s="161">
        <f>DRE!M2</f>
        <v>9</v>
      </c>
      <c r="N2" s="161">
        <f>DRE!N2</f>
        <v>10</v>
      </c>
      <c r="O2" s="161">
        <f>DRE!O2</f>
        <v>11</v>
      </c>
      <c r="P2" s="161">
        <f>DRE!P2</f>
        <v>12</v>
      </c>
      <c r="Q2" s="161">
        <f>DRE!Q2</f>
        <v>13</v>
      </c>
      <c r="R2" s="161">
        <f>DRE!R2</f>
        <v>14</v>
      </c>
      <c r="S2" s="161">
        <f>DRE!S2</f>
        <v>15</v>
      </c>
      <c r="T2" s="161">
        <f>DRE!T2</f>
        <v>16</v>
      </c>
      <c r="U2" s="161">
        <f>DRE!U2</f>
        <v>17</v>
      </c>
      <c r="V2" s="161">
        <f>DRE!V2</f>
        <v>18</v>
      </c>
      <c r="W2" s="161">
        <f>DRE!W2</f>
        <v>19</v>
      </c>
      <c r="X2" s="161">
        <f>DRE!X2</f>
        <v>20</v>
      </c>
      <c r="Y2" s="161">
        <f>DRE!Y2</f>
        <v>21</v>
      </c>
      <c r="Z2" s="161">
        <f>DRE!Z2</f>
        <v>22</v>
      </c>
      <c r="AA2" s="161">
        <f>DRE!AA2</f>
        <v>23</v>
      </c>
      <c r="AB2" s="161">
        <f>DRE!AB2</f>
        <v>24</v>
      </c>
      <c r="AC2" s="161">
        <f>DRE!AC2</f>
        <v>25</v>
      </c>
      <c r="AD2" s="161">
        <f>DRE!AD2</f>
        <v>26</v>
      </c>
      <c r="AE2" s="161">
        <f>DRE!AE2</f>
        <v>27</v>
      </c>
      <c r="AF2" s="161">
        <f>DRE!AF2</f>
        <v>28</v>
      </c>
      <c r="AG2" s="161">
        <f>DRE!AG2</f>
        <v>29</v>
      </c>
      <c r="AH2" s="161">
        <f>DRE!AH2</f>
        <v>30</v>
      </c>
      <c r="AI2" s="161">
        <f>DRE!AI2</f>
        <v>31</v>
      </c>
      <c r="AJ2" s="161">
        <f>DRE!AJ2</f>
        <v>32</v>
      </c>
      <c r="AK2" s="161">
        <f>DRE!AK2</f>
        <v>33</v>
      </c>
      <c r="AL2" s="161">
        <f>DRE!AL2</f>
        <v>34</v>
      </c>
      <c r="AM2" s="161">
        <f>DRE!AM2</f>
        <v>35</v>
      </c>
      <c r="AN2" s="161">
        <f>DRE!AN2</f>
        <v>36</v>
      </c>
    </row>
    <row r="3" spans="1:40" s="163" customFormat="1" ht="12.75" customHeight="1">
      <c r="A3" s="161" t="s">
        <v>108</v>
      </c>
      <c r="B3" s="161"/>
      <c r="C3" s="161"/>
      <c r="D3" s="164"/>
      <c r="E3" s="165">
        <f>DRE!E3</f>
        <v>1</v>
      </c>
      <c r="F3" s="165">
        <f>DRE!F3</f>
        <v>1</v>
      </c>
      <c r="G3" s="165">
        <f>DRE!G3</f>
        <v>1</v>
      </c>
      <c r="H3" s="165">
        <f>DRE!H3</f>
        <v>1</v>
      </c>
      <c r="I3" s="165">
        <f>DRE!I3</f>
        <v>1</v>
      </c>
      <c r="J3" s="165">
        <f>DRE!J3</f>
        <v>1</v>
      </c>
      <c r="K3" s="165">
        <f>DRE!K3</f>
        <v>1</v>
      </c>
      <c r="L3" s="165">
        <f>DRE!L3</f>
        <v>1</v>
      </c>
      <c r="M3" s="165">
        <f>DRE!M3</f>
        <v>1</v>
      </c>
      <c r="N3" s="165">
        <f>DRE!N3</f>
        <v>1</v>
      </c>
      <c r="O3" s="165">
        <f>DRE!O3</f>
        <v>1</v>
      </c>
      <c r="P3" s="165">
        <f>DRE!P3</f>
        <v>1</v>
      </c>
      <c r="Q3" s="165">
        <f>DRE!Q3</f>
        <v>1</v>
      </c>
      <c r="R3" s="165">
        <f>DRE!R3</f>
        <v>1</v>
      </c>
      <c r="S3" s="165">
        <f>DRE!S3</f>
        <v>1</v>
      </c>
      <c r="T3" s="165">
        <f>DRE!T3</f>
        <v>1</v>
      </c>
      <c r="U3" s="165">
        <f>DRE!U3</f>
        <v>1</v>
      </c>
      <c r="V3" s="165">
        <f>DRE!V3</f>
        <v>1</v>
      </c>
      <c r="W3" s="165">
        <f>DRE!W3</f>
        <v>1</v>
      </c>
      <c r="X3" s="165">
        <f>DRE!X3</f>
        <v>1</v>
      </c>
      <c r="Y3" s="165">
        <f>DRE!Y3</f>
        <v>1</v>
      </c>
      <c r="Z3" s="165">
        <f>DRE!Z3</f>
        <v>1</v>
      </c>
      <c r="AA3" s="165">
        <f>DRE!AA3</f>
        <v>1</v>
      </c>
      <c r="AB3" s="165">
        <f>DRE!AB3</f>
        <v>1</v>
      </c>
      <c r="AC3" s="165">
        <f>DRE!AC3</f>
        <v>1</v>
      </c>
      <c r="AD3" s="165">
        <f>DRE!AD3</f>
        <v>1</v>
      </c>
      <c r="AE3" s="165">
        <f>DRE!AE3</f>
        <v>1</v>
      </c>
      <c r="AF3" s="165">
        <f>DRE!AF3</f>
        <v>1</v>
      </c>
      <c r="AG3" s="165">
        <f>DRE!AG3</f>
        <v>1</v>
      </c>
      <c r="AH3" s="165">
        <f>DRE!AH3</f>
        <v>1</v>
      </c>
      <c r="AI3" s="165">
        <f>DRE!AI3</f>
        <v>0</v>
      </c>
      <c r="AJ3" s="165">
        <f>DRE!AJ3</f>
        <v>0</v>
      </c>
      <c r="AK3" s="165">
        <f>DRE!AK3</f>
        <v>0</v>
      </c>
      <c r="AL3" s="165">
        <f>DRE!AL3</f>
        <v>0</v>
      </c>
      <c r="AM3" s="165">
        <f>DRE!AM3</f>
        <v>0</v>
      </c>
      <c r="AN3" s="165">
        <f>DRE!AN3</f>
        <v>0</v>
      </c>
    </row>
    <row r="4" spans="1:40" ht="12.75" customHeight="1">
      <c r="A4" s="20"/>
      <c r="B4" s="2"/>
      <c r="C4" s="2"/>
      <c r="D4" s="105"/>
      <c r="E4" s="103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</row>
    <row r="5" spans="1:40" ht="12.75" customHeight="1">
      <c r="A5" s="102" t="s">
        <v>214</v>
      </c>
      <c r="B5" s="1"/>
      <c r="C5" s="1"/>
      <c r="D5" s="21"/>
      <c r="E5" s="2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12.75" customHeight="1">
      <c r="A6" s="106"/>
      <c r="B6" s="1"/>
      <c r="C6" s="1"/>
      <c r="D6" s="21"/>
      <c r="E6" s="2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ht="12.75" customHeight="1">
      <c r="A7" s="12"/>
      <c r="B7" s="13" t="s">
        <v>124</v>
      </c>
      <c r="C7" s="1"/>
      <c r="D7" s="13" t="s">
        <v>215</v>
      </c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</row>
    <row r="8" spans="1:40" ht="12.75" customHeight="1">
      <c r="A8" s="218" t="str">
        <f>'CAPEX Detalhado'!D2</f>
        <v>Execução de ETE</v>
      </c>
      <c r="B8" s="107">
        <v>30</v>
      </c>
      <c r="C8" s="72" t="s">
        <v>216</v>
      </c>
      <c r="D8" s="76">
        <f>SUM(E8:AH8)</f>
        <v>3439.08</v>
      </c>
      <c r="E8" s="76">
        <f>'CAPEX Detalhado'!H2/1000</f>
        <v>3439.08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76">
        <v>0</v>
      </c>
      <c r="T8" s="76">
        <v>0</v>
      </c>
      <c r="U8" s="76">
        <v>0</v>
      </c>
      <c r="V8" s="76">
        <v>0</v>
      </c>
      <c r="W8" s="76">
        <v>0</v>
      </c>
      <c r="X8" s="76">
        <v>0</v>
      </c>
      <c r="Y8" s="76">
        <v>0</v>
      </c>
      <c r="Z8" s="76">
        <v>0</v>
      </c>
      <c r="AA8" s="76">
        <v>0</v>
      </c>
      <c r="AB8" s="76">
        <v>0</v>
      </c>
      <c r="AC8" s="76">
        <v>0</v>
      </c>
      <c r="AD8" s="76">
        <v>0</v>
      </c>
      <c r="AE8" s="76">
        <v>0</v>
      </c>
      <c r="AF8" s="76">
        <v>0</v>
      </c>
      <c r="AG8" s="76">
        <v>0</v>
      </c>
      <c r="AH8" s="76">
        <v>0</v>
      </c>
      <c r="AI8" s="19"/>
      <c r="AJ8" s="19"/>
      <c r="AK8" s="19"/>
      <c r="AL8" s="19"/>
      <c r="AM8" s="19"/>
      <c r="AN8" s="19"/>
    </row>
    <row r="9" spans="1:40" ht="12.75" customHeight="1">
      <c r="A9" s="218" t="str">
        <f>'CAPEX Detalhado'!D5</f>
        <v>Reforma Parque de Exposições</v>
      </c>
      <c r="B9" s="107">
        <v>30</v>
      </c>
      <c r="C9" s="72" t="s">
        <v>216</v>
      </c>
      <c r="D9" s="76">
        <f>SUM(E9:AH9)</f>
        <v>3371.6658207199998</v>
      </c>
      <c r="E9" s="76">
        <f>'CAPEX Detalhado'!H5/1000</f>
        <v>3371.6658207199998</v>
      </c>
      <c r="F9" s="76">
        <v>0</v>
      </c>
      <c r="G9" s="76">
        <v>0</v>
      </c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76">
        <v>0</v>
      </c>
      <c r="T9" s="76">
        <v>0</v>
      </c>
      <c r="U9" s="76">
        <v>0</v>
      </c>
      <c r="V9" s="76">
        <v>0</v>
      </c>
      <c r="W9" s="76">
        <v>0</v>
      </c>
      <c r="X9" s="76">
        <v>0</v>
      </c>
      <c r="Y9" s="76">
        <v>0</v>
      </c>
      <c r="Z9" s="76">
        <v>0</v>
      </c>
      <c r="AA9" s="76">
        <v>0</v>
      </c>
      <c r="AB9" s="76">
        <v>0</v>
      </c>
      <c r="AC9" s="76">
        <v>0</v>
      </c>
      <c r="AD9" s="76">
        <v>0</v>
      </c>
      <c r="AE9" s="76">
        <v>0</v>
      </c>
      <c r="AF9" s="76">
        <v>0</v>
      </c>
      <c r="AG9" s="76">
        <v>0</v>
      </c>
      <c r="AH9" s="76">
        <v>0</v>
      </c>
      <c r="AI9" s="19"/>
      <c r="AJ9" s="19"/>
      <c r="AK9" s="19"/>
      <c r="AL9" s="19"/>
      <c r="AM9" s="19"/>
      <c r="AN9" s="19"/>
    </row>
    <row r="10" spans="1:40" ht="12.75" customHeight="1">
      <c r="A10" s="218" t="str">
        <f>'CAPEX Detalhado'!D13</f>
        <v>Estacionamento</v>
      </c>
      <c r="B10" s="107">
        <v>30</v>
      </c>
      <c r="C10" s="72" t="s">
        <v>80</v>
      </c>
      <c r="D10" s="76">
        <f t="shared" ref="D10:D17" si="0">SUM(E10:AH10)</f>
        <v>2390.1864000000005</v>
      </c>
      <c r="E10" s="76">
        <f>'CAPEX Detalhado'!H13/1000</f>
        <v>2390.1864000000005</v>
      </c>
      <c r="F10" s="76">
        <v>0</v>
      </c>
      <c r="G10" s="76">
        <v>0</v>
      </c>
      <c r="H10" s="76">
        <v>0</v>
      </c>
      <c r="I10" s="76">
        <v>0</v>
      </c>
      <c r="J10" s="76">
        <v>0</v>
      </c>
      <c r="K10" s="76">
        <v>0</v>
      </c>
      <c r="L10" s="76">
        <v>0</v>
      </c>
      <c r="M10" s="76">
        <v>0</v>
      </c>
      <c r="N10" s="76">
        <v>0</v>
      </c>
      <c r="O10" s="76">
        <v>0</v>
      </c>
      <c r="P10" s="76">
        <v>0</v>
      </c>
      <c r="Q10" s="76">
        <v>0</v>
      </c>
      <c r="R10" s="76">
        <v>0</v>
      </c>
      <c r="S10" s="76">
        <v>0</v>
      </c>
      <c r="T10" s="76">
        <v>0</v>
      </c>
      <c r="U10" s="76">
        <v>0</v>
      </c>
      <c r="V10" s="76">
        <v>0</v>
      </c>
      <c r="W10" s="76">
        <v>0</v>
      </c>
      <c r="X10" s="76">
        <v>0</v>
      </c>
      <c r="Y10" s="76">
        <v>0</v>
      </c>
      <c r="Z10" s="76">
        <v>0</v>
      </c>
      <c r="AA10" s="76">
        <v>0</v>
      </c>
      <c r="AB10" s="76">
        <v>0</v>
      </c>
      <c r="AC10" s="76">
        <v>0</v>
      </c>
      <c r="AD10" s="76">
        <v>0</v>
      </c>
      <c r="AE10" s="76">
        <v>0</v>
      </c>
      <c r="AF10" s="76">
        <v>0</v>
      </c>
      <c r="AG10" s="76">
        <v>0</v>
      </c>
      <c r="AH10" s="76">
        <v>0</v>
      </c>
      <c r="AI10" s="19"/>
      <c r="AJ10" s="19"/>
      <c r="AK10" s="19"/>
      <c r="AL10" s="19"/>
      <c r="AM10" s="19"/>
      <c r="AN10" s="19"/>
    </row>
    <row r="11" spans="1:40" ht="12.75" customHeight="1">
      <c r="A11" s="218" t="str">
        <f>'CAPEX Detalhado'!D18</f>
        <v>Open Mall</v>
      </c>
      <c r="B11" s="107">
        <v>30</v>
      </c>
      <c r="C11" s="72" t="s">
        <v>80</v>
      </c>
      <c r="D11" s="76">
        <f t="shared" si="0"/>
        <v>3312.1882999999998</v>
      </c>
      <c r="E11" s="76">
        <f>'CAPEX Detalhado'!H18/1000-F11</f>
        <v>2026.9262999999999</v>
      </c>
      <c r="F11" s="76">
        <f>(CRONOGRAMA!AX35+CRONOGRAMA!BB33+CRONOGRAMA!BB35+CRONOGRAMA!BE35)/1000</f>
        <v>1285.2619999999999</v>
      </c>
      <c r="G11" s="76">
        <v>0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  <c r="T11" s="76">
        <v>0</v>
      </c>
      <c r="U11" s="76">
        <v>0</v>
      </c>
      <c r="V11" s="76">
        <v>0</v>
      </c>
      <c r="W11" s="76">
        <v>0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v>0</v>
      </c>
      <c r="AD11" s="76">
        <v>0</v>
      </c>
      <c r="AE11" s="76">
        <v>0</v>
      </c>
      <c r="AF11" s="76">
        <v>0</v>
      </c>
      <c r="AG11" s="76">
        <v>0</v>
      </c>
      <c r="AH11" s="76">
        <v>0</v>
      </c>
      <c r="AI11" s="19"/>
      <c r="AJ11" s="19"/>
      <c r="AK11" s="19"/>
      <c r="AL11" s="19"/>
      <c r="AM11" s="19"/>
      <c r="AN11" s="19"/>
    </row>
    <row r="12" spans="1:40" ht="12.75" customHeight="1">
      <c r="A12" s="218" t="str">
        <f>'CAPEX Detalhado'!D27</f>
        <v>Fazendinha e Aventura</v>
      </c>
      <c r="B12" s="107">
        <v>30</v>
      </c>
      <c r="C12" s="72" t="s">
        <v>80</v>
      </c>
      <c r="D12" s="76">
        <f t="shared" si="0"/>
        <v>901.0951</v>
      </c>
      <c r="E12" s="76">
        <f>'CAPEX Detalhado'!H27/1000</f>
        <v>901.0951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6">
        <v>0</v>
      </c>
      <c r="Z12" s="76">
        <v>0</v>
      </c>
      <c r="AA12" s="76">
        <v>0</v>
      </c>
      <c r="AB12" s="76">
        <v>0</v>
      </c>
      <c r="AC12" s="76">
        <v>0</v>
      </c>
      <c r="AD12" s="76">
        <v>0</v>
      </c>
      <c r="AE12" s="76">
        <v>0</v>
      </c>
      <c r="AF12" s="76">
        <v>0</v>
      </c>
      <c r="AG12" s="76">
        <v>0</v>
      </c>
      <c r="AH12" s="76">
        <v>0</v>
      </c>
      <c r="AI12" s="109"/>
      <c r="AJ12" s="109"/>
      <c r="AK12" s="109"/>
      <c r="AL12" s="109"/>
      <c r="AM12" s="109"/>
      <c r="AN12" s="109"/>
    </row>
    <row r="13" spans="1:40" ht="12.75" customHeight="1">
      <c r="A13" s="218" t="str">
        <f>'CAPEX Detalhado'!D36</f>
        <v>Parque Molhado</v>
      </c>
      <c r="B13" s="107">
        <v>30</v>
      </c>
      <c r="C13" s="72" t="s">
        <v>80</v>
      </c>
      <c r="D13" s="76">
        <f>SUM(E13:AH13)</f>
        <v>1637.4535860000001</v>
      </c>
      <c r="E13" s="76">
        <f>'CAPEX Detalhado'!H36/1000</f>
        <v>1637.4535860000001</v>
      </c>
      <c r="F13" s="76">
        <v>0</v>
      </c>
      <c r="G13" s="76">
        <v>0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  <c r="T13" s="76">
        <v>0</v>
      </c>
      <c r="U13" s="76">
        <v>0</v>
      </c>
      <c r="V13" s="76">
        <v>0</v>
      </c>
      <c r="W13" s="76">
        <v>0</v>
      </c>
      <c r="X13" s="76">
        <v>0</v>
      </c>
      <c r="Y13" s="76">
        <v>0</v>
      </c>
      <c r="Z13" s="76">
        <v>0</v>
      </c>
      <c r="AA13" s="76">
        <v>0</v>
      </c>
      <c r="AB13" s="76">
        <v>0</v>
      </c>
      <c r="AC13" s="76">
        <v>0</v>
      </c>
      <c r="AD13" s="76">
        <v>0</v>
      </c>
      <c r="AE13" s="76">
        <v>0</v>
      </c>
      <c r="AF13" s="76">
        <v>0</v>
      </c>
      <c r="AG13" s="76">
        <v>0</v>
      </c>
      <c r="AH13" s="76">
        <v>0</v>
      </c>
      <c r="AI13" s="19"/>
      <c r="AJ13" s="19"/>
      <c r="AK13" s="19"/>
      <c r="AL13" s="19"/>
      <c r="AM13" s="19"/>
      <c r="AN13" s="19"/>
    </row>
    <row r="14" spans="1:40" ht="12.75" customHeight="1">
      <c r="A14" s="218" t="str">
        <f>'CAPEX Detalhado'!D42</f>
        <v>Receptivo e espaço para eventos</v>
      </c>
      <c r="B14" s="107">
        <v>30</v>
      </c>
      <c r="C14" s="72" t="s">
        <v>80</v>
      </c>
      <c r="D14" s="76">
        <f t="shared" si="0"/>
        <v>12068.707700000001</v>
      </c>
      <c r="E14" s="76">
        <f>'CAPEX Detalhado'!H42/1000-F14</f>
        <v>5369.8021816666669</v>
      </c>
      <c r="F14" s="76">
        <f>(CRONOGRAMA!BA63+CRONOGRAMA!BE63+CRONOGRAMA!BI63+CRONOGRAMA!BN63+CRONOGRAMA!BQ63+CRONOGRAMA!BQ61+CRONOGRAMA!BT61+CRONOGRAMA!BT63)/1000</f>
        <v>6698.9055183333339</v>
      </c>
      <c r="G14" s="76">
        <v>0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  <c r="T14" s="76">
        <v>0</v>
      </c>
      <c r="U14" s="76">
        <v>0</v>
      </c>
      <c r="V14" s="76">
        <v>0</v>
      </c>
      <c r="W14" s="76">
        <v>0</v>
      </c>
      <c r="X14" s="76">
        <v>0</v>
      </c>
      <c r="Y14" s="76">
        <v>0</v>
      </c>
      <c r="Z14" s="76">
        <v>0</v>
      </c>
      <c r="AA14" s="76">
        <v>0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109"/>
      <c r="AJ14" s="109"/>
      <c r="AK14" s="109"/>
      <c r="AL14" s="109"/>
      <c r="AM14" s="109"/>
      <c r="AN14" s="109"/>
    </row>
    <row r="15" spans="1:40" ht="12.75" customHeight="1">
      <c r="A15" s="218" t="str">
        <f>'CAPEX Detalhado'!D49</f>
        <v>Elaboração de Projeto</v>
      </c>
      <c r="B15" s="107">
        <v>30</v>
      </c>
      <c r="C15" s="72" t="s">
        <v>80</v>
      </c>
      <c r="D15" s="76">
        <f t="shared" si="0"/>
        <v>929.20898</v>
      </c>
      <c r="E15" s="76">
        <f>'CAPEX Detalhado'!H49/1000</f>
        <v>929.20898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0</v>
      </c>
      <c r="M15" s="76">
        <v>0</v>
      </c>
      <c r="N15" s="76">
        <v>0</v>
      </c>
      <c r="O15" s="76">
        <v>0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6">
        <v>0</v>
      </c>
      <c r="V15" s="76">
        <v>0</v>
      </c>
      <c r="W15" s="76">
        <v>0</v>
      </c>
      <c r="X15" s="76">
        <v>0</v>
      </c>
      <c r="Y15" s="76">
        <v>0</v>
      </c>
      <c r="Z15" s="76">
        <v>0</v>
      </c>
      <c r="AA15" s="76">
        <v>0</v>
      </c>
      <c r="AB15" s="76">
        <v>0</v>
      </c>
      <c r="AC15" s="76">
        <v>0</v>
      </c>
      <c r="AD15" s="76">
        <v>0</v>
      </c>
      <c r="AE15" s="76">
        <v>0</v>
      </c>
      <c r="AF15" s="76">
        <v>0</v>
      </c>
      <c r="AG15" s="76">
        <v>0</v>
      </c>
      <c r="AH15" s="76">
        <v>0</v>
      </c>
      <c r="AI15" s="109"/>
      <c r="AJ15" s="109"/>
      <c r="AK15" s="109"/>
      <c r="AL15" s="109"/>
      <c r="AM15" s="109"/>
      <c r="AN15" s="109"/>
    </row>
    <row r="16" spans="1:40" ht="13.15" customHeight="1">
      <c r="A16" s="218" t="str">
        <f>'CAPEX Detalhado'!D52</f>
        <v>Estudos de Campo</v>
      </c>
      <c r="B16" s="107">
        <v>30</v>
      </c>
      <c r="C16" s="72" t="s">
        <v>80</v>
      </c>
      <c r="D16" s="76">
        <f t="shared" si="0"/>
        <v>37.1</v>
      </c>
      <c r="E16" s="76">
        <f>'CAPEX Detalhado'!H52/1000</f>
        <v>37.1</v>
      </c>
      <c r="F16" s="76">
        <v>0</v>
      </c>
      <c r="G16" s="76">
        <v>0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  <c r="T16" s="76">
        <v>0</v>
      </c>
      <c r="U16" s="76">
        <v>0</v>
      </c>
      <c r="V16" s="76">
        <v>0</v>
      </c>
      <c r="W16" s="76">
        <v>0</v>
      </c>
      <c r="X16" s="76">
        <v>0</v>
      </c>
      <c r="Y16" s="76">
        <v>0</v>
      </c>
      <c r="Z16" s="76">
        <v>0</v>
      </c>
      <c r="AA16" s="76">
        <v>0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0</v>
      </c>
      <c r="AH16" s="76">
        <v>0</v>
      </c>
      <c r="AI16" s="109"/>
      <c r="AJ16" s="109"/>
      <c r="AK16" s="109"/>
      <c r="AL16" s="109"/>
      <c r="AM16" s="109"/>
      <c r="AN16" s="109"/>
    </row>
    <row r="17" spans="1:40" ht="13.15" customHeight="1">
      <c r="A17" s="218" t="str">
        <f>'CAPEX Detalhado'!D56</f>
        <v>BONIFICAÇÃO E DESPESAS INDIRETAS</v>
      </c>
      <c r="B17" s="107"/>
      <c r="C17" s="72"/>
      <c r="D17" s="76">
        <f t="shared" si="0"/>
        <v>9386.5704233418255</v>
      </c>
      <c r="E17" s="76">
        <f>'CAPEX Detalhado'!H56/1000</f>
        <v>9386.5704233418255</v>
      </c>
      <c r="F17" s="76">
        <v>0</v>
      </c>
      <c r="G17" s="76">
        <v>0</v>
      </c>
      <c r="H17" s="76">
        <v>0</v>
      </c>
      <c r="I17" s="76">
        <v>0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P17" s="76">
        <v>0</v>
      </c>
      <c r="Q17" s="76">
        <v>0</v>
      </c>
      <c r="R17" s="76">
        <v>0</v>
      </c>
      <c r="S17" s="76">
        <v>0</v>
      </c>
      <c r="T17" s="76">
        <v>0</v>
      </c>
      <c r="U17" s="76">
        <v>0</v>
      </c>
      <c r="V17" s="76">
        <v>0</v>
      </c>
      <c r="W17" s="76">
        <v>0</v>
      </c>
      <c r="X17" s="76">
        <v>0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0</v>
      </c>
      <c r="AH17" s="76">
        <v>0</v>
      </c>
      <c r="AI17" s="109"/>
      <c r="AJ17" s="109"/>
      <c r="AK17" s="109"/>
      <c r="AL17" s="109"/>
      <c r="AM17" s="109"/>
      <c r="AN17" s="109"/>
    </row>
    <row r="18" spans="1:40" ht="12.75" customHeight="1">
      <c r="A18" s="620" t="s">
        <v>87</v>
      </c>
      <c r="B18" s="621" t="s">
        <v>80</v>
      </c>
      <c r="C18" s="622"/>
      <c r="D18" s="623">
        <f>SUM(E18:AH18)</f>
        <v>37473.256310061821</v>
      </c>
      <c r="E18" s="616">
        <f>SUM(E8:E17)</f>
        <v>29489.088791728489</v>
      </c>
      <c r="F18" s="616">
        <f t="shared" ref="F18:AH18" si="1">SUM(F8:F17)</f>
        <v>7984.1675183333336</v>
      </c>
      <c r="G18" s="616">
        <f t="shared" si="1"/>
        <v>0</v>
      </c>
      <c r="H18" s="616">
        <f t="shared" si="1"/>
        <v>0</v>
      </c>
      <c r="I18" s="616">
        <f t="shared" si="1"/>
        <v>0</v>
      </c>
      <c r="J18" s="616">
        <f t="shared" si="1"/>
        <v>0</v>
      </c>
      <c r="K18" s="616">
        <f t="shared" si="1"/>
        <v>0</v>
      </c>
      <c r="L18" s="616">
        <f t="shared" si="1"/>
        <v>0</v>
      </c>
      <c r="M18" s="616">
        <f t="shared" si="1"/>
        <v>0</v>
      </c>
      <c r="N18" s="616">
        <f t="shared" si="1"/>
        <v>0</v>
      </c>
      <c r="O18" s="616">
        <f t="shared" si="1"/>
        <v>0</v>
      </c>
      <c r="P18" s="616">
        <f t="shared" si="1"/>
        <v>0</v>
      </c>
      <c r="Q18" s="616">
        <f t="shared" si="1"/>
        <v>0</v>
      </c>
      <c r="R18" s="616">
        <f t="shared" si="1"/>
        <v>0</v>
      </c>
      <c r="S18" s="616">
        <f t="shared" si="1"/>
        <v>0</v>
      </c>
      <c r="T18" s="616">
        <f t="shared" si="1"/>
        <v>0</v>
      </c>
      <c r="U18" s="616">
        <f t="shared" si="1"/>
        <v>0</v>
      </c>
      <c r="V18" s="616">
        <f t="shared" si="1"/>
        <v>0</v>
      </c>
      <c r="W18" s="616">
        <f t="shared" si="1"/>
        <v>0</v>
      </c>
      <c r="X18" s="616">
        <f t="shared" si="1"/>
        <v>0</v>
      </c>
      <c r="Y18" s="616">
        <f t="shared" si="1"/>
        <v>0</v>
      </c>
      <c r="Z18" s="616">
        <f t="shared" si="1"/>
        <v>0</v>
      </c>
      <c r="AA18" s="616">
        <f t="shared" si="1"/>
        <v>0</v>
      </c>
      <c r="AB18" s="616">
        <f t="shared" si="1"/>
        <v>0</v>
      </c>
      <c r="AC18" s="616">
        <f t="shared" si="1"/>
        <v>0</v>
      </c>
      <c r="AD18" s="616">
        <f t="shared" si="1"/>
        <v>0</v>
      </c>
      <c r="AE18" s="616">
        <f t="shared" si="1"/>
        <v>0</v>
      </c>
      <c r="AF18" s="616">
        <f t="shared" si="1"/>
        <v>0</v>
      </c>
      <c r="AG18" s="616">
        <f t="shared" si="1"/>
        <v>0</v>
      </c>
      <c r="AH18" s="616">
        <f t="shared" si="1"/>
        <v>0</v>
      </c>
      <c r="AI18" s="616">
        <f>SUM(AI9:AI16)</f>
        <v>0</v>
      </c>
      <c r="AJ18" s="616">
        <f>SUM(AJ9:AJ16)</f>
        <v>0</v>
      </c>
      <c r="AK18" s="616">
        <f>SUM(AK9:AK16)</f>
        <v>0</v>
      </c>
      <c r="AL18" s="616">
        <f>SUM(AL9:AL16)</f>
        <v>0</v>
      </c>
      <c r="AM18" s="616">
        <f>SUM(AM9:AM16)</f>
        <v>0</v>
      </c>
      <c r="AN18" s="616">
        <f>SUM(AN12:AN16)</f>
        <v>0</v>
      </c>
    </row>
    <row r="19" spans="1:40" ht="12.75" customHeight="1">
      <c r="A19" s="110"/>
      <c r="B19" s="111"/>
      <c r="C19" s="112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</row>
    <row r="20" spans="1:40" ht="12.75" customHeight="1">
      <c r="A20" s="102" t="s">
        <v>217</v>
      </c>
      <c r="B20" s="1"/>
      <c r="C20" s="1"/>
      <c r="D20" s="21"/>
      <c r="E20" s="2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12.75" customHeight="1">
      <c r="A21" s="12"/>
      <c r="B21" s="13"/>
      <c r="C21" s="1"/>
      <c r="D21" s="13" t="s">
        <v>215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76"/>
      <c r="AJ21" s="76"/>
      <c r="AK21" s="76"/>
      <c r="AL21" s="76"/>
      <c r="AM21" s="76"/>
      <c r="AN21" s="19"/>
    </row>
    <row r="22" spans="1:40" ht="12.75" customHeight="1">
      <c r="A22" s="218" t="str">
        <f>RECAPEX!A4</f>
        <v>Construção ETE</v>
      </c>
      <c r="B22" s="107"/>
      <c r="C22" s="72" t="s">
        <v>216</v>
      </c>
      <c r="D22" s="76">
        <f>SUM(E22:AH22)</f>
        <v>2063.4480000000003</v>
      </c>
      <c r="E22" s="76">
        <v>0</v>
      </c>
      <c r="F22" s="76">
        <v>0</v>
      </c>
      <c r="G22" s="76">
        <v>0</v>
      </c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f>RECAPEX!F4/1000</f>
        <v>687.81600000000003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  <c r="T22" s="76">
        <v>0</v>
      </c>
      <c r="U22" s="76">
        <v>0</v>
      </c>
      <c r="V22" s="76">
        <v>0</v>
      </c>
      <c r="W22" s="76">
        <v>0</v>
      </c>
      <c r="X22" s="76">
        <f>RECAPEX!F4/1000</f>
        <v>687.81600000000003</v>
      </c>
      <c r="Y22" s="76">
        <v>0</v>
      </c>
      <c r="Z22" s="76">
        <v>0</v>
      </c>
      <c r="AA22" s="76">
        <v>0</v>
      </c>
      <c r="AB22" s="76">
        <v>0</v>
      </c>
      <c r="AC22" s="76">
        <v>0</v>
      </c>
      <c r="AD22" s="76">
        <v>0</v>
      </c>
      <c r="AE22" s="76">
        <v>0</v>
      </c>
      <c r="AF22" s="76">
        <v>0</v>
      </c>
      <c r="AG22" s="76">
        <v>0</v>
      </c>
      <c r="AH22" s="76">
        <f>IF(AH$2&lt;=Painel!$C$5,RECAPEX!F4/1000,0)</f>
        <v>687.81600000000003</v>
      </c>
      <c r="AI22" s="76">
        <v>0</v>
      </c>
      <c r="AJ22" s="76">
        <v>0</v>
      </c>
      <c r="AK22" s="76">
        <v>0</v>
      </c>
      <c r="AL22" s="76">
        <v>0</v>
      </c>
      <c r="AM22" s="76">
        <v>0</v>
      </c>
      <c r="AN22" s="76">
        <v>0</v>
      </c>
    </row>
    <row r="23" spans="1:40" ht="12.75" customHeight="1">
      <c r="A23" s="218" t="str">
        <f>RECAPEX!A5</f>
        <v>Rede de elétrica</v>
      </c>
      <c r="B23" s="107"/>
      <c r="C23" s="72" t="s">
        <v>80</v>
      </c>
      <c r="D23" s="76">
        <f t="shared" ref="D23:D28" si="2">SUM(E23:AH23)</f>
        <v>2335.0500000000002</v>
      </c>
      <c r="E23" s="76">
        <v>0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f>RECAPEX!F5/1000</f>
        <v>778.35</v>
      </c>
      <c r="O23" s="76">
        <v>0</v>
      </c>
      <c r="P23" s="76">
        <v>0</v>
      </c>
      <c r="Q23" s="76">
        <v>0</v>
      </c>
      <c r="R23" s="76">
        <v>0</v>
      </c>
      <c r="S23" s="76">
        <v>0</v>
      </c>
      <c r="T23" s="76">
        <v>0</v>
      </c>
      <c r="U23" s="76">
        <v>0</v>
      </c>
      <c r="V23" s="76">
        <v>0</v>
      </c>
      <c r="W23" s="76">
        <v>0</v>
      </c>
      <c r="X23" s="76">
        <f>RECAPEX!F5/1000</f>
        <v>778.35</v>
      </c>
      <c r="Y23" s="76">
        <v>0</v>
      </c>
      <c r="Z23" s="76">
        <v>0</v>
      </c>
      <c r="AA23" s="76">
        <v>0</v>
      </c>
      <c r="AB23" s="76">
        <v>0</v>
      </c>
      <c r="AC23" s="76">
        <v>0</v>
      </c>
      <c r="AD23" s="76">
        <v>0</v>
      </c>
      <c r="AE23" s="76">
        <v>0</v>
      </c>
      <c r="AF23" s="76">
        <v>0</v>
      </c>
      <c r="AG23" s="76">
        <v>0</v>
      </c>
      <c r="AH23" s="76">
        <f>IF(AH$2&lt;=Painel!$C$5,RECAPEX!F5/1000,0)</f>
        <v>778.35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76">
        <v>0</v>
      </c>
    </row>
    <row r="24" spans="1:40" ht="12.75" customHeight="1">
      <c r="A24" s="218" t="str">
        <f>RECAPEX!A6</f>
        <v>Rede de água</v>
      </c>
      <c r="B24" s="107"/>
      <c r="C24" s="72" t="s">
        <v>80</v>
      </c>
      <c r="D24" s="76">
        <f t="shared" si="2"/>
        <v>1823.0400959999999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f>RECAPEX!F6/1000</f>
        <v>607.68003199999998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f>RECAPEX!F6/1000</f>
        <v>607.68003199999998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f>IF(AH$2&lt;=Painel!$C$5,RECAPEX!F6/1000,0)</f>
        <v>607.68003199999998</v>
      </c>
      <c r="AI24" s="76">
        <v>0</v>
      </c>
      <c r="AJ24" s="76">
        <v>0</v>
      </c>
      <c r="AK24" s="76">
        <v>0</v>
      </c>
      <c r="AL24" s="76">
        <v>0</v>
      </c>
      <c r="AM24" s="76">
        <v>0</v>
      </c>
      <c r="AN24" s="76">
        <v>0</v>
      </c>
    </row>
    <row r="25" spans="1:40" ht="12.75" customHeight="1">
      <c r="A25" s="218" t="str">
        <f>CAPEX!A10</f>
        <v>Estacionamento</v>
      </c>
      <c r="B25" s="107"/>
      <c r="C25" s="72" t="s">
        <v>80</v>
      </c>
      <c r="D25" s="76">
        <f t="shared" si="2"/>
        <v>714</v>
      </c>
      <c r="E25" s="76">
        <v>0</v>
      </c>
      <c r="F25" s="76">
        <v>0</v>
      </c>
      <c r="G25" s="76">
        <v>0</v>
      </c>
      <c r="H25" s="76">
        <v>0</v>
      </c>
      <c r="I25" s="76">
        <f>RECAPEX!F19/1000</f>
        <v>119</v>
      </c>
      <c r="J25" s="76">
        <v>0</v>
      </c>
      <c r="K25" s="76">
        <v>0</v>
      </c>
      <c r="L25" s="76">
        <v>0</v>
      </c>
      <c r="M25" s="76">
        <v>0</v>
      </c>
      <c r="N25" s="76">
        <f>RECAPEX!F19/1000</f>
        <v>119</v>
      </c>
      <c r="O25" s="76">
        <v>0</v>
      </c>
      <c r="P25" s="76">
        <v>0</v>
      </c>
      <c r="Q25" s="76">
        <v>0</v>
      </c>
      <c r="R25" s="76">
        <v>0</v>
      </c>
      <c r="S25" s="76">
        <f>RECAPEX!F19/1000</f>
        <v>119</v>
      </c>
      <c r="T25" s="76">
        <v>0</v>
      </c>
      <c r="U25" s="76">
        <v>0</v>
      </c>
      <c r="V25" s="76">
        <v>0</v>
      </c>
      <c r="W25" s="76">
        <v>0</v>
      </c>
      <c r="X25" s="76">
        <f>RECAPEX!F19/1000</f>
        <v>119</v>
      </c>
      <c r="Y25" s="76">
        <v>0</v>
      </c>
      <c r="Z25" s="76">
        <v>0</v>
      </c>
      <c r="AA25" s="76">
        <v>0</v>
      </c>
      <c r="AB25" s="76">
        <v>0</v>
      </c>
      <c r="AC25" s="76">
        <f>RECAPEX!F19/1000</f>
        <v>119</v>
      </c>
      <c r="AD25" s="76">
        <v>0</v>
      </c>
      <c r="AE25" s="76">
        <v>0</v>
      </c>
      <c r="AF25" s="76">
        <v>0</v>
      </c>
      <c r="AG25" s="76">
        <v>0</v>
      </c>
      <c r="AH25" s="76">
        <f>IF(AH$2&lt;=Painel!$C$5,RECAPEX!F19/1000,0)</f>
        <v>119</v>
      </c>
      <c r="AI25" s="76">
        <v>0</v>
      </c>
      <c r="AJ25" s="76">
        <v>0</v>
      </c>
      <c r="AK25" s="76">
        <v>0</v>
      </c>
      <c r="AL25" s="76">
        <v>0</v>
      </c>
      <c r="AM25" s="76">
        <v>0</v>
      </c>
      <c r="AN25" s="76">
        <v>0</v>
      </c>
    </row>
    <row r="26" spans="1:40" ht="12.75" customHeight="1">
      <c r="A26" s="218" t="str">
        <f>CAPEX!A11</f>
        <v>Open Mall</v>
      </c>
      <c r="B26" s="107"/>
      <c r="C26" s="72" t="s">
        <v>80</v>
      </c>
      <c r="D26" s="76">
        <f t="shared" si="2"/>
        <v>357</v>
      </c>
      <c r="E26" s="76">
        <v>0</v>
      </c>
      <c r="F26" s="76">
        <v>0</v>
      </c>
      <c r="G26" s="76">
        <v>0</v>
      </c>
      <c r="H26" s="76">
        <v>0</v>
      </c>
      <c r="I26" s="76">
        <f>RECAPEX!F27/1000</f>
        <v>59.5</v>
      </c>
      <c r="J26" s="76">
        <v>0</v>
      </c>
      <c r="K26" s="76">
        <v>0</v>
      </c>
      <c r="L26" s="76">
        <v>0</v>
      </c>
      <c r="M26" s="76">
        <v>0</v>
      </c>
      <c r="N26" s="76">
        <f>RECAPEX!F27/1000</f>
        <v>59.5</v>
      </c>
      <c r="O26" s="76">
        <v>0</v>
      </c>
      <c r="P26" s="76">
        <v>0</v>
      </c>
      <c r="Q26" s="76">
        <v>0</v>
      </c>
      <c r="R26" s="76">
        <v>0</v>
      </c>
      <c r="S26" s="76">
        <f>RECAPEX!F27/1000</f>
        <v>59.5</v>
      </c>
      <c r="T26" s="76">
        <v>0</v>
      </c>
      <c r="U26" s="76">
        <v>0</v>
      </c>
      <c r="V26" s="76">
        <v>0</v>
      </c>
      <c r="W26" s="76">
        <v>0</v>
      </c>
      <c r="X26" s="76">
        <f>RECAPEX!F27/1000</f>
        <v>59.5</v>
      </c>
      <c r="Y26" s="76">
        <v>0</v>
      </c>
      <c r="Z26" s="76">
        <v>0</v>
      </c>
      <c r="AA26" s="76">
        <v>0</v>
      </c>
      <c r="AB26" s="76">
        <v>0</v>
      </c>
      <c r="AC26" s="76">
        <f>RECAPEX!F27/1000</f>
        <v>59.5</v>
      </c>
      <c r="AD26" s="76">
        <v>0</v>
      </c>
      <c r="AE26" s="76">
        <v>0</v>
      </c>
      <c r="AF26" s="76">
        <v>0</v>
      </c>
      <c r="AG26" s="76">
        <v>0</v>
      </c>
      <c r="AH26" s="76">
        <f>IF(AH$2&lt;=Painel!$C$5,RECAPEX!F27/1000,0)</f>
        <v>59.5</v>
      </c>
      <c r="AI26" s="76">
        <v>0</v>
      </c>
      <c r="AJ26" s="76">
        <v>0</v>
      </c>
      <c r="AK26" s="76">
        <v>0</v>
      </c>
      <c r="AL26" s="76">
        <v>0</v>
      </c>
      <c r="AM26" s="76">
        <v>0</v>
      </c>
      <c r="AN26" s="76">
        <v>0</v>
      </c>
    </row>
    <row r="27" spans="1:40" ht="12.75" customHeight="1">
      <c r="A27" s="218" t="str">
        <f>CAPEX!A12</f>
        <v>Fazendinha e Aventura</v>
      </c>
      <c r="B27" s="107"/>
      <c r="C27" s="72" t="s">
        <v>80</v>
      </c>
      <c r="D27" s="76">
        <f t="shared" si="2"/>
        <v>801.0000960000001</v>
      </c>
      <c r="E27" s="76">
        <v>0</v>
      </c>
      <c r="F27" s="76">
        <v>0</v>
      </c>
      <c r="G27" s="76">
        <v>0</v>
      </c>
      <c r="H27" s="76">
        <v>0</v>
      </c>
      <c r="I27" s="76">
        <f>RECAPEX!F34/1000</f>
        <v>97.5</v>
      </c>
      <c r="J27" s="76">
        <v>0</v>
      </c>
      <c r="K27" s="76">
        <v>0</v>
      </c>
      <c r="L27" s="76">
        <v>0</v>
      </c>
      <c r="M27" s="76">
        <v>0</v>
      </c>
      <c r="N27" s="76">
        <f>(RECAPEX!F33+RECAPEX!F34)/1000</f>
        <v>169.500032</v>
      </c>
      <c r="O27" s="76">
        <v>0</v>
      </c>
      <c r="P27" s="76">
        <v>0</v>
      </c>
      <c r="Q27" s="76">
        <v>0</v>
      </c>
      <c r="R27" s="76">
        <v>0</v>
      </c>
      <c r="S27" s="76">
        <f>RECAPEX!F34/1000</f>
        <v>97.5</v>
      </c>
      <c r="T27" s="76">
        <v>0</v>
      </c>
      <c r="U27" s="76">
        <v>0</v>
      </c>
      <c r="V27" s="76">
        <v>0</v>
      </c>
      <c r="W27" s="76">
        <v>0</v>
      </c>
      <c r="X27" s="76">
        <f>(RECAPEX!F33+RECAPEX!F34)/1000</f>
        <v>169.500032</v>
      </c>
      <c r="Y27" s="76">
        <v>0</v>
      </c>
      <c r="Z27" s="76">
        <v>0</v>
      </c>
      <c r="AA27" s="76">
        <v>0</v>
      </c>
      <c r="AB27" s="76">
        <v>0</v>
      </c>
      <c r="AC27" s="76">
        <f>RECAPEX!F34/1000</f>
        <v>97.5</v>
      </c>
      <c r="AD27" s="76">
        <v>0</v>
      </c>
      <c r="AE27" s="76">
        <v>0</v>
      </c>
      <c r="AF27" s="76">
        <v>0</v>
      </c>
      <c r="AG27" s="76">
        <v>0</v>
      </c>
      <c r="AH27" s="76">
        <f>IF(AH$2&lt;=Painel!$C$5,(RECAPEX!F33+RECAPEX!F34)/1000,0)</f>
        <v>169.500032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76">
        <v>0</v>
      </c>
    </row>
    <row r="28" spans="1:40" ht="12.75" customHeight="1">
      <c r="A28" s="218" t="str">
        <f>CAPEX!A13</f>
        <v>Parque Molhado</v>
      </c>
      <c r="B28" s="107"/>
      <c r="C28" s="72"/>
      <c r="D28" s="76">
        <f t="shared" si="2"/>
        <v>1115.5719999999999</v>
      </c>
      <c r="E28" s="76">
        <v>0</v>
      </c>
      <c r="F28" s="76">
        <f>(RECAPEX!$F$43+RECAPEX!$F$44)/1000</f>
        <v>38.468000000000004</v>
      </c>
      <c r="G28" s="76">
        <f>(RECAPEX!$F$43+RECAPEX!$F$44)/1000</f>
        <v>38.468000000000004</v>
      </c>
      <c r="H28" s="76">
        <f>(RECAPEX!$F$43+RECAPEX!$F$44)/1000</f>
        <v>38.468000000000004</v>
      </c>
      <c r="I28" s="76">
        <f>(RECAPEX!$F$43+RECAPEX!$F$44)/1000</f>
        <v>38.468000000000004</v>
      </c>
      <c r="J28" s="76">
        <f>(RECAPEX!$F$43+RECAPEX!$F$44)/1000</f>
        <v>38.468000000000004</v>
      </c>
      <c r="K28" s="76">
        <f>(RECAPEX!$F$43+RECAPEX!$F$44)/1000</f>
        <v>38.468000000000004</v>
      </c>
      <c r="L28" s="76">
        <f>(RECAPEX!$F$43+RECAPEX!$F$44)/1000</f>
        <v>38.468000000000004</v>
      </c>
      <c r="M28" s="76">
        <f>(RECAPEX!$F$43+RECAPEX!$F$44)/1000</f>
        <v>38.468000000000004</v>
      </c>
      <c r="N28" s="76">
        <f>(RECAPEX!$F$43+RECAPEX!$F$44)/1000</f>
        <v>38.468000000000004</v>
      </c>
      <c r="O28" s="76">
        <f>(RECAPEX!$F$43+RECAPEX!$F$44)/1000</f>
        <v>38.468000000000004</v>
      </c>
      <c r="P28" s="76">
        <f>(RECAPEX!$F$43+RECAPEX!$F$44)/1000</f>
        <v>38.468000000000004</v>
      </c>
      <c r="Q28" s="76">
        <f>(RECAPEX!$F$43+RECAPEX!$F$44)/1000</f>
        <v>38.468000000000004</v>
      </c>
      <c r="R28" s="76">
        <f>(RECAPEX!$F$43+RECAPEX!$F$44)/1000</f>
        <v>38.468000000000004</v>
      </c>
      <c r="S28" s="76">
        <f>(RECAPEX!$F$43+RECAPEX!$F$44)/1000</f>
        <v>38.468000000000004</v>
      </c>
      <c r="T28" s="76">
        <f>(RECAPEX!$F$43+RECAPEX!$F$44)/1000</f>
        <v>38.468000000000004</v>
      </c>
      <c r="U28" s="76">
        <f>(RECAPEX!$F$43+RECAPEX!$F$44)/1000</f>
        <v>38.468000000000004</v>
      </c>
      <c r="V28" s="76">
        <f>(RECAPEX!$F$43+RECAPEX!$F$44)/1000</f>
        <v>38.468000000000004</v>
      </c>
      <c r="W28" s="76">
        <f>(RECAPEX!$F$43+RECAPEX!$F$44)/1000</f>
        <v>38.468000000000004</v>
      </c>
      <c r="X28" s="76">
        <f>(RECAPEX!$F$43+RECAPEX!$F$44)/1000</f>
        <v>38.468000000000004</v>
      </c>
      <c r="Y28" s="76">
        <f>(RECAPEX!$F$43+RECAPEX!$F$44)/1000</f>
        <v>38.468000000000004</v>
      </c>
      <c r="Z28" s="76">
        <f>(RECAPEX!$F$43+RECAPEX!$F$44)/1000</f>
        <v>38.468000000000004</v>
      </c>
      <c r="AA28" s="76">
        <f>(RECAPEX!$F$43+RECAPEX!$F$44)/1000</f>
        <v>38.468000000000004</v>
      </c>
      <c r="AB28" s="76">
        <f>(RECAPEX!$F$43+RECAPEX!$F$44)/1000</f>
        <v>38.468000000000004</v>
      </c>
      <c r="AC28" s="76">
        <f>(RECAPEX!$F$43+RECAPEX!$F$44)/1000</f>
        <v>38.468000000000004</v>
      </c>
      <c r="AD28" s="76">
        <f>IF(AD2&lt;=Painel!$C5,(RECAPEX!$F$43+RECAPEX!$F$44)/1000,0)</f>
        <v>38.468000000000004</v>
      </c>
      <c r="AE28" s="76">
        <f>IF(AE2&lt;=Painel!$C5,(RECAPEX!$F$43+RECAPEX!$F$44)/1000,0)</f>
        <v>38.468000000000004</v>
      </c>
      <c r="AF28" s="76">
        <f>IF(AF2&lt;=Painel!$C5,(RECAPEX!$F$43+RECAPEX!$F$44)/1000,0)</f>
        <v>38.468000000000004</v>
      </c>
      <c r="AG28" s="76">
        <f>IF(AG2&lt;=Painel!$C5,(RECAPEX!$F$43+RECAPEX!$F$44)/1000,0)</f>
        <v>38.468000000000004</v>
      </c>
      <c r="AH28" s="76">
        <f>IF(AH2&lt;=Painel!$C5,(RECAPEX!$F$43+RECAPEX!$F$44)/1000,0)</f>
        <v>38.468000000000004</v>
      </c>
      <c r="AI28" s="76">
        <f>IF(AI2&lt;=Painel!$C5,(RECAPEX!$F$43+RECAPEX!$F$44)/1000,0)</f>
        <v>0</v>
      </c>
      <c r="AJ28" s="76">
        <f>IF(AJ2&lt;=Painel!$C5,(RECAPEX!$F$43+RECAPEX!$F$44)/1000,0)</f>
        <v>0</v>
      </c>
      <c r="AK28" s="76">
        <f>IF(AK2&lt;=Painel!$C5,(RECAPEX!$F$43+RECAPEX!$F$44)/1000,0)</f>
        <v>0</v>
      </c>
      <c r="AL28" s="76">
        <f>IF(AL2&lt;=Painel!$C5,(RECAPEX!$F$43+RECAPEX!$F$44)/1000,0)</f>
        <v>0</v>
      </c>
      <c r="AM28" s="76">
        <f>IF(AM2&lt;=Painel!$C5,(RECAPEX!$F$43+RECAPEX!$F$44)/1000,0)</f>
        <v>0</v>
      </c>
      <c r="AN28" s="76">
        <v>0</v>
      </c>
    </row>
    <row r="29" spans="1:40" ht="12.75" customHeight="1">
      <c r="A29" s="620" t="str">
        <f>A18</f>
        <v>Total dos investimentos</v>
      </c>
      <c r="B29" s="621"/>
      <c r="C29" s="622"/>
      <c r="D29" s="623">
        <f>SUM(D22:D28)</f>
        <v>9209.1101920000001</v>
      </c>
      <c r="E29" s="623">
        <f>SUM(E22:E28)</f>
        <v>0</v>
      </c>
      <c r="F29" s="623">
        <f t="shared" ref="F29:AN29" si="3">SUM(F22:F28)</f>
        <v>38.468000000000004</v>
      </c>
      <c r="G29" s="623">
        <f t="shared" si="3"/>
        <v>38.468000000000004</v>
      </c>
      <c r="H29" s="623">
        <f t="shared" si="3"/>
        <v>38.468000000000004</v>
      </c>
      <c r="I29" s="623">
        <f t="shared" si="3"/>
        <v>314.46800000000002</v>
      </c>
      <c r="J29" s="623">
        <f t="shared" si="3"/>
        <v>38.468000000000004</v>
      </c>
      <c r="K29" s="623">
        <f t="shared" si="3"/>
        <v>38.468000000000004</v>
      </c>
      <c r="L29" s="623">
        <f t="shared" si="3"/>
        <v>38.468000000000004</v>
      </c>
      <c r="M29" s="623">
        <f t="shared" si="3"/>
        <v>38.468000000000004</v>
      </c>
      <c r="N29" s="623">
        <f t="shared" si="3"/>
        <v>2460.3140640000001</v>
      </c>
      <c r="O29" s="623">
        <f t="shared" si="3"/>
        <v>38.468000000000004</v>
      </c>
      <c r="P29" s="623">
        <f t="shared" si="3"/>
        <v>38.468000000000004</v>
      </c>
      <c r="Q29" s="623">
        <f t="shared" si="3"/>
        <v>38.468000000000004</v>
      </c>
      <c r="R29" s="623">
        <f t="shared" si="3"/>
        <v>38.468000000000004</v>
      </c>
      <c r="S29" s="623">
        <f t="shared" si="3"/>
        <v>314.46800000000002</v>
      </c>
      <c r="T29" s="623">
        <f t="shared" si="3"/>
        <v>38.468000000000004</v>
      </c>
      <c r="U29" s="623">
        <f t="shared" si="3"/>
        <v>38.468000000000004</v>
      </c>
      <c r="V29" s="623">
        <f t="shared" si="3"/>
        <v>38.468000000000004</v>
      </c>
      <c r="W29" s="623">
        <f t="shared" si="3"/>
        <v>38.468000000000004</v>
      </c>
      <c r="X29" s="623">
        <f t="shared" si="3"/>
        <v>2460.3140640000001</v>
      </c>
      <c r="Y29" s="623">
        <f t="shared" si="3"/>
        <v>38.468000000000004</v>
      </c>
      <c r="Z29" s="623">
        <f t="shared" si="3"/>
        <v>38.468000000000004</v>
      </c>
      <c r="AA29" s="623">
        <f t="shared" si="3"/>
        <v>38.468000000000004</v>
      </c>
      <c r="AB29" s="623">
        <f t="shared" si="3"/>
        <v>38.468000000000004</v>
      </c>
      <c r="AC29" s="623">
        <f t="shared" si="3"/>
        <v>314.46800000000002</v>
      </c>
      <c r="AD29" s="623">
        <f t="shared" si="3"/>
        <v>38.468000000000004</v>
      </c>
      <c r="AE29" s="623">
        <f t="shared" si="3"/>
        <v>38.468000000000004</v>
      </c>
      <c r="AF29" s="623">
        <f t="shared" si="3"/>
        <v>38.468000000000004</v>
      </c>
      <c r="AG29" s="623">
        <f t="shared" si="3"/>
        <v>38.468000000000004</v>
      </c>
      <c r="AH29" s="623">
        <f t="shared" si="3"/>
        <v>2460.3140640000001</v>
      </c>
      <c r="AI29" s="623">
        <f t="shared" si="3"/>
        <v>0</v>
      </c>
      <c r="AJ29" s="623">
        <f t="shared" si="3"/>
        <v>0</v>
      </c>
      <c r="AK29" s="623">
        <f t="shared" si="3"/>
        <v>0</v>
      </c>
      <c r="AL29" s="623">
        <f t="shared" si="3"/>
        <v>0</v>
      </c>
      <c r="AM29" s="623">
        <f t="shared" si="3"/>
        <v>0</v>
      </c>
      <c r="AN29" s="623">
        <f t="shared" si="3"/>
        <v>0</v>
      </c>
    </row>
  </sheetData>
  <sheetProtection password="C643" sheet="1" objects="1" scenarios="1"/>
  <pageMargins left="0.511811024" right="0.511811024" top="0.78740157499999996" bottom="0.78740157499999996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63"/>
  <sheetViews>
    <sheetView zoomScaleNormal="100" workbookViewId="0">
      <selection activeCell="G68" sqref="G68"/>
    </sheetView>
  </sheetViews>
  <sheetFormatPr defaultColWidth="8.85546875" defaultRowHeight="12.75"/>
  <cols>
    <col min="1" max="1" width="38" style="304" bestFit="1" customWidth="1"/>
    <col min="2" max="2" width="15.7109375" style="304" hidden="1" customWidth="1"/>
    <col min="3" max="3" width="14.7109375" style="304" hidden="1" customWidth="1"/>
    <col min="4" max="7" width="13.140625" style="304" hidden="1" customWidth="1"/>
    <col min="8" max="8" width="12" style="304" hidden="1" customWidth="1"/>
    <col min="9" max="9" width="13" style="304" hidden="1" customWidth="1"/>
    <col min="10" max="11" width="13.140625" style="304" hidden="1" customWidth="1"/>
    <col min="12" max="12" width="15.7109375" style="304" hidden="1" customWidth="1"/>
    <col min="13" max="13" width="14.7109375" style="304" hidden="1" customWidth="1"/>
    <col min="14" max="14" width="13.140625" style="304" hidden="1" customWidth="1"/>
    <col min="15" max="16" width="14.7109375" style="304" hidden="1" customWidth="1"/>
    <col min="17" max="17" width="13.7109375" style="304" hidden="1" customWidth="1"/>
    <col min="18" max="18" width="14.7109375" style="304" hidden="1" customWidth="1"/>
    <col min="19" max="19" width="13.140625" style="304" hidden="1" customWidth="1"/>
    <col min="20" max="20" width="14.7109375" style="304" hidden="1" customWidth="1"/>
    <col min="21" max="23" width="13.140625" style="304" hidden="1" customWidth="1"/>
    <col min="24" max="25" width="14.7109375" style="304" hidden="1" customWidth="1"/>
    <col min="26" max="27" width="13.140625" style="304" hidden="1" customWidth="1"/>
    <col min="28" max="28" width="14.7109375" style="304" hidden="1" customWidth="1"/>
    <col min="29" max="34" width="13.140625" style="304" hidden="1" customWidth="1"/>
    <col min="35" max="35" width="14.7109375" style="304" hidden="1" customWidth="1"/>
    <col min="36" max="39" width="13.140625" style="304" hidden="1" customWidth="1"/>
    <col min="40" max="40" width="12" style="304" hidden="1" customWidth="1"/>
    <col min="41" max="43" width="13.140625" style="304" hidden="1" customWidth="1"/>
    <col min="44" max="44" width="12" style="304" hidden="1" customWidth="1"/>
    <col min="45" max="45" width="13.140625" style="304" hidden="1" customWidth="1"/>
    <col min="46" max="47" width="14.7109375" style="304" hidden="1" customWidth="1"/>
    <col min="48" max="48" width="7.5703125" style="304" hidden="1" customWidth="1"/>
    <col min="49" max="49" width="14.7109375" style="304" hidden="1" customWidth="1"/>
    <col min="50" max="50" width="13.140625" style="304" bestFit="1" customWidth="1"/>
    <col min="51" max="52" width="2.85546875" style="304" customWidth="1"/>
    <col min="53" max="53" width="14.7109375" style="304" bestFit="1" customWidth="1"/>
    <col min="54" max="54" width="13.140625" style="304" bestFit="1" customWidth="1"/>
    <col min="55" max="56" width="2.85546875" style="304" customWidth="1"/>
    <col min="57" max="57" width="14.7109375" style="304" bestFit="1" customWidth="1"/>
    <col min="58" max="60" width="2.85546875" style="304" customWidth="1"/>
    <col min="61" max="61" width="14.7109375" style="304" bestFit="1" customWidth="1"/>
    <col min="62" max="65" width="2.85546875" style="304" customWidth="1"/>
    <col min="66" max="66" width="14.7109375" style="304" bestFit="1" customWidth="1"/>
    <col min="67" max="68" width="2.85546875" style="304" customWidth="1"/>
    <col min="69" max="69" width="13.140625" style="304" bestFit="1" customWidth="1"/>
    <col min="70" max="70" width="14.7109375" style="304" bestFit="1" customWidth="1"/>
    <col min="71" max="71" width="15.7109375" style="304" bestFit="1" customWidth="1"/>
    <col min="72" max="72" width="13.140625" style="304" bestFit="1" customWidth="1"/>
    <col min="73" max="77" width="2.85546875" style="304" customWidth="1"/>
    <col min="78" max="78" width="15.7109375" style="304" bestFit="1" customWidth="1"/>
    <col min="79" max="16384" width="8.85546875" style="304"/>
  </cols>
  <sheetData>
    <row r="1" spans="1:77">
      <c r="A1" s="315" t="s">
        <v>218</v>
      </c>
      <c r="B1" s="657" t="s">
        <v>219</v>
      </c>
      <c r="C1" s="657"/>
      <c r="D1" s="657"/>
      <c r="E1" s="657"/>
      <c r="F1" s="657" t="s">
        <v>220</v>
      </c>
      <c r="G1" s="657"/>
      <c r="H1" s="657"/>
      <c r="I1" s="657"/>
      <c r="J1" s="657" t="s">
        <v>221</v>
      </c>
      <c r="K1" s="657"/>
      <c r="L1" s="657"/>
      <c r="M1" s="657"/>
      <c r="N1" s="657" t="s">
        <v>222</v>
      </c>
      <c r="O1" s="657"/>
      <c r="P1" s="657"/>
      <c r="Q1" s="657"/>
      <c r="R1" s="657" t="s">
        <v>223</v>
      </c>
      <c r="S1" s="657"/>
      <c r="T1" s="657"/>
      <c r="U1" s="657"/>
      <c r="V1" s="657" t="s">
        <v>224</v>
      </c>
      <c r="W1" s="657"/>
      <c r="X1" s="657"/>
      <c r="Y1" s="657"/>
      <c r="Z1" s="657" t="s">
        <v>225</v>
      </c>
      <c r="AA1" s="657"/>
      <c r="AB1" s="657"/>
      <c r="AC1" s="657"/>
      <c r="AD1" s="657" t="s">
        <v>226</v>
      </c>
      <c r="AE1" s="657"/>
      <c r="AF1" s="657"/>
      <c r="AG1" s="657"/>
      <c r="AH1" s="657" t="s">
        <v>227</v>
      </c>
      <c r="AI1" s="657"/>
      <c r="AJ1" s="657"/>
      <c r="AK1" s="657"/>
      <c r="AL1" s="657" t="s">
        <v>228</v>
      </c>
      <c r="AM1" s="657"/>
      <c r="AN1" s="657"/>
      <c r="AO1" s="657"/>
      <c r="AP1" s="657" t="s">
        <v>229</v>
      </c>
      <c r="AQ1" s="657"/>
      <c r="AR1" s="657"/>
      <c r="AS1" s="657"/>
      <c r="AT1" s="657" t="s">
        <v>230</v>
      </c>
      <c r="AU1" s="657"/>
      <c r="AV1" s="657"/>
      <c r="AW1" s="657"/>
      <c r="AX1" s="657" t="s">
        <v>231</v>
      </c>
      <c r="AY1" s="657"/>
      <c r="AZ1" s="657"/>
      <c r="BA1" s="657"/>
      <c r="BB1" s="657" t="s">
        <v>232</v>
      </c>
      <c r="BC1" s="657"/>
      <c r="BD1" s="657"/>
      <c r="BE1" s="657"/>
      <c r="BF1" s="657" t="s">
        <v>233</v>
      </c>
      <c r="BG1" s="657"/>
      <c r="BH1" s="657"/>
      <c r="BI1" s="657"/>
      <c r="BJ1" s="657" t="s">
        <v>234</v>
      </c>
      <c r="BK1" s="657"/>
      <c r="BL1" s="657"/>
      <c r="BM1" s="657"/>
      <c r="BN1" s="657" t="s">
        <v>235</v>
      </c>
      <c r="BO1" s="657"/>
      <c r="BP1" s="657"/>
      <c r="BQ1" s="657"/>
      <c r="BR1" s="657" t="s">
        <v>236</v>
      </c>
      <c r="BS1" s="657"/>
      <c r="BT1" s="657"/>
      <c r="BU1" s="657"/>
      <c r="BV1" s="657" t="s">
        <v>237</v>
      </c>
      <c r="BW1" s="657"/>
      <c r="BX1" s="657"/>
      <c r="BY1" s="657"/>
    </row>
    <row r="2" spans="1:77">
      <c r="A2" s="656" t="s">
        <v>238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  <c r="T2" s="656"/>
      <c r="U2" s="656"/>
      <c r="V2" s="656"/>
      <c r="W2" s="656"/>
      <c r="X2" s="656"/>
      <c r="Y2" s="656"/>
      <c r="Z2" s="656"/>
      <c r="AA2" s="656"/>
      <c r="AB2" s="656"/>
      <c r="AC2" s="656"/>
      <c r="AD2" s="656"/>
      <c r="AE2" s="656"/>
      <c r="AF2" s="656"/>
      <c r="AG2" s="656"/>
      <c r="AH2" s="656"/>
      <c r="AI2" s="656"/>
      <c r="AJ2" s="656"/>
      <c r="AK2" s="656"/>
      <c r="AL2" s="656"/>
      <c r="AM2" s="656"/>
      <c r="AN2" s="656"/>
      <c r="AO2" s="656"/>
      <c r="AP2" s="656"/>
      <c r="AQ2" s="656"/>
      <c r="AR2" s="656"/>
      <c r="AS2" s="656"/>
      <c r="AT2" s="656"/>
      <c r="AU2" s="656"/>
      <c r="AV2" s="656"/>
      <c r="AW2" s="656"/>
      <c r="AX2" s="656"/>
      <c r="AY2" s="656"/>
      <c r="AZ2" s="656"/>
      <c r="BA2" s="656"/>
      <c r="BB2" s="656"/>
      <c r="BC2" s="656"/>
      <c r="BD2" s="656"/>
      <c r="BE2" s="656"/>
      <c r="BF2" s="656"/>
      <c r="BG2" s="656"/>
      <c r="BH2" s="656"/>
      <c r="BI2" s="656"/>
      <c r="BJ2" s="656"/>
      <c r="BK2" s="656"/>
      <c r="BL2" s="656"/>
      <c r="BM2" s="656"/>
      <c r="BN2" s="656"/>
      <c r="BO2" s="656"/>
      <c r="BP2" s="656"/>
      <c r="BQ2" s="656"/>
      <c r="BR2" s="656"/>
      <c r="BS2" s="656"/>
      <c r="BT2" s="656"/>
      <c r="BU2" s="656"/>
      <c r="BV2" s="656"/>
      <c r="BW2" s="656"/>
      <c r="BX2" s="656"/>
      <c r="BY2" s="656"/>
    </row>
    <row r="3" spans="1:77">
      <c r="A3" s="312" t="s">
        <v>239</v>
      </c>
      <c r="B3" s="313"/>
      <c r="C3" s="313"/>
      <c r="D3" s="313"/>
      <c r="E3" s="313"/>
      <c r="F3" s="313"/>
      <c r="G3" s="313"/>
      <c r="H3" s="313"/>
      <c r="I3" s="313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  <c r="BS3" s="311"/>
      <c r="BT3" s="311"/>
      <c r="BU3" s="311"/>
      <c r="BV3" s="311"/>
      <c r="BW3" s="311"/>
      <c r="BX3" s="311"/>
      <c r="BY3" s="311"/>
    </row>
    <row r="4" spans="1:77" s="307" customFormat="1">
      <c r="A4" s="314"/>
      <c r="B4" s="310">
        <v>35935.24</v>
      </c>
      <c r="C4" s="310"/>
      <c r="D4" s="310"/>
      <c r="E4" s="310">
        <v>17967.62</v>
      </c>
      <c r="F4" s="310"/>
      <c r="G4" s="310"/>
      <c r="H4" s="310"/>
      <c r="I4" s="310">
        <v>17967.62</v>
      </c>
      <c r="J4" s="309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  <c r="BG4" s="309"/>
      <c r="BH4" s="309"/>
      <c r="BI4" s="309"/>
      <c r="BJ4" s="309"/>
      <c r="BK4" s="309"/>
      <c r="BL4" s="309"/>
      <c r="BM4" s="309"/>
      <c r="BN4" s="309"/>
      <c r="BO4" s="309"/>
      <c r="BP4" s="309"/>
      <c r="BQ4" s="309"/>
      <c r="BR4" s="309"/>
      <c r="BS4" s="309"/>
      <c r="BT4" s="309"/>
      <c r="BU4" s="309"/>
      <c r="BV4" s="309"/>
      <c r="BW4" s="309"/>
      <c r="BX4" s="309"/>
      <c r="BY4" s="309"/>
    </row>
    <row r="5" spans="1:77" ht="25.5">
      <c r="A5" s="439" t="s">
        <v>240</v>
      </c>
      <c r="B5" s="311"/>
      <c r="C5" s="311"/>
      <c r="D5" s="311"/>
      <c r="E5" s="311"/>
      <c r="F5" s="313"/>
      <c r="G5" s="313"/>
      <c r="H5" s="313"/>
      <c r="I5" s="313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13"/>
      <c r="AR5" s="313"/>
      <c r="AS5" s="313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11"/>
      <c r="BM5" s="311"/>
      <c r="BN5" s="311"/>
      <c r="BO5" s="311"/>
      <c r="BP5" s="311"/>
      <c r="BQ5" s="311"/>
      <c r="BR5" s="311"/>
      <c r="BS5" s="311"/>
      <c r="BT5" s="311"/>
      <c r="BU5" s="311"/>
      <c r="BV5" s="311"/>
      <c r="BW5" s="311"/>
      <c r="BX5" s="311"/>
      <c r="BY5" s="311"/>
    </row>
    <row r="6" spans="1:77">
      <c r="A6" s="312"/>
      <c r="B6" s="311"/>
      <c r="C6" s="311"/>
      <c r="D6" s="311"/>
      <c r="E6" s="311"/>
      <c r="F6" s="308">
        <v>123042</v>
      </c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  <c r="AA6" s="308"/>
      <c r="AB6" s="308"/>
      <c r="AC6" s="308"/>
      <c r="AD6" s="308"/>
      <c r="AE6" s="308"/>
      <c r="AF6" s="308"/>
      <c r="AG6" s="308"/>
      <c r="AH6" s="308"/>
      <c r="AI6" s="308"/>
      <c r="AJ6" s="308"/>
      <c r="AK6" s="308"/>
      <c r="AL6" s="308"/>
      <c r="AM6" s="308"/>
      <c r="AN6" s="308"/>
      <c r="AO6" s="308"/>
      <c r="AP6" s="308"/>
      <c r="AQ6" s="308"/>
      <c r="AR6" s="308"/>
      <c r="AS6" s="308">
        <v>196076.21000000002</v>
      </c>
      <c r="AT6" s="442"/>
      <c r="AU6" s="311"/>
      <c r="AV6" s="311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11"/>
      <c r="BM6" s="311"/>
      <c r="BN6" s="311"/>
      <c r="BO6" s="311"/>
      <c r="BP6" s="311"/>
      <c r="BQ6" s="311"/>
      <c r="BR6" s="311"/>
      <c r="BS6" s="311"/>
      <c r="BT6" s="311"/>
      <c r="BU6" s="311"/>
      <c r="BV6" s="311"/>
      <c r="BW6" s="311"/>
      <c r="BX6" s="311"/>
      <c r="BY6" s="311"/>
    </row>
    <row r="7" spans="1:77">
      <c r="A7" s="312" t="s">
        <v>241</v>
      </c>
      <c r="B7" s="311"/>
      <c r="C7" s="311"/>
      <c r="D7" s="311"/>
      <c r="E7" s="311"/>
      <c r="F7" s="311"/>
      <c r="G7" s="311"/>
      <c r="H7" s="311"/>
      <c r="I7" s="311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1"/>
      <c r="AU7" s="442"/>
      <c r="AV7" s="311"/>
      <c r="AW7" s="442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</row>
    <row r="8" spans="1:77">
      <c r="A8" s="314"/>
      <c r="B8" s="309"/>
      <c r="C8" s="309"/>
      <c r="D8" s="309"/>
      <c r="E8" s="309"/>
      <c r="F8" s="309"/>
      <c r="G8" s="309"/>
      <c r="H8" s="309"/>
      <c r="I8" s="309"/>
      <c r="J8" s="308">
        <v>392713.70750000002</v>
      </c>
      <c r="K8" s="308"/>
      <c r="L8" s="308"/>
      <c r="M8" s="308"/>
      <c r="N8" s="308">
        <v>392713.70750000002</v>
      </c>
      <c r="O8" s="308"/>
      <c r="P8" s="308"/>
      <c r="Q8" s="308"/>
      <c r="R8" s="308">
        <v>392713.70750000002</v>
      </c>
      <c r="S8" s="308"/>
      <c r="T8" s="308"/>
      <c r="U8" s="308"/>
      <c r="V8" s="308">
        <v>392713.70750000002</v>
      </c>
      <c r="W8" s="308"/>
      <c r="X8" s="308"/>
      <c r="Y8" s="308"/>
      <c r="Z8" s="308">
        <v>785427.41500000004</v>
      </c>
      <c r="AA8" s="308"/>
      <c r="AB8" s="308"/>
      <c r="AC8" s="308"/>
      <c r="AD8" s="308">
        <v>203191.61</v>
      </c>
      <c r="AE8" s="308"/>
      <c r="AF8" s="308"/>
      <c r="AG8" s="308"/>
      <c r="AH8" s="308">
        <v>134402.23999999999</v>
      </c>
      <c r="AI8" s="308"/>
      <c r="AJ8" s="308"/>
      <c r="AK8" s="308"/>
      <c r="AL8" s="308">
        <v>156965.785</v>
      </c>
      <c r="AM8" s="308"/>
      <c r="AN8" s="308"/>
      <c r="AO8" s="308"/>
      <c r="AP8" s="308">
        <v>156965.785</v>
      </c>
      <c r="AQ8" s="308"/>
      <c r="AR8" s="308"/>
      <c r="AS8" s="308">
        <v>156965.785</v>
      </c>
      <c r="AT8" s="442"/>
      <c r="AU8" s="442"/>
      <c r="AV8" s="311"/>
      <c r="AW8" s="311"/>
      <c r="AX8" s="311"/>
      <c r="AY8" s="311"/>
      <c r="AZ8" s="311"/>
      <c r="BA8" s="311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  <c r="BT8" s="311"/>
      <c r="BU8" s="311"/>
      <c r="BV8" s="311"/>
      <c r="BW8" s="311"/>
      <c r="BX8" s="311"/>
      <c r="BY8" s="311"/>
    </row>
    <row r="9" spans="1:77">
      <c r="A9" s="656" t="s">
        <v>242</v>
      </c>
      <c r="B9" s="656"/>
      <c r="C9" s="656"/>
      <c r="D9" s="656"/>
      <c r="E9" s="656"/>
      <c r="F9" s="656"/>
      <c r="G9" s="656"/>
      <c r="H9" s="656"/>
      <c r="I9" s="656"/>
      <c r="J9" s="656"/>
      <c r="K9" s="656"/>
      <c r="L9" s="656"/>
      <c r="M9" s="656"/>
      <c r="N9" s="656"/>
      <c r="O9" s="656"/>
      <c r="P9" s="656"/>
      <c r="Q9" s="656"/>
      <c r="R9" s="656"/>
      <c r="S9" s="656"/>
      <c r="T9" s="656"/>
      <c r="U9" s="656"/>
      <c r="V9" s="656"/>
      <c r="W9" s="656"/>
      <c r="X9" s="656"/>
      <c r="Y9" s="656"/>
      <c r="Z9" s="656"/>
      <c r="AA9" s="656"/>
      <c r="AB9" s="656"/>
      <c r="AC9" s="656"/>
      <c r="AD9" s="656"/>
      <c r="AE9" s="656"/>
      <c r="AF9" s="656"/>
      <c r="AG9" s="656"/>
      <c r="AH9" s="656"/>
      <c r="AI9" s="656"/>
      <c r="AJ9" s="656"/>
      <c r="AK9" s="656"/>
      <c r="AL9" s="656"/>
      <c r="AM9" s="656"/>
      <c r="AN9" s="656"/>
      <c r="AO9" s="656"/>
      <c r="AP9" s="656"/>
      <c r="AQ9" s="656"/>
      <c r="AR9" s="656"/>
      <c r="AS9" s="656"/>
      <c r="AT9" s="656"/>
      <c r="AU9" s="656"/>
      <c r="AV9" s="656"/>
      <c r="AW9" s="656"/>
      <c r="AX9" s="656"/>
      <c r="AY9" s="656"/>
      <c r="AZ9" s="656"/>
      <c r="BA9" s="656"/>
      <c r="BB9" s="656"/>
      <c r="BC9" s="656"/>
      <c r="BD9" s="656"/>
      <c r="BE9" s="656"/>
      <c r="BF9" s="656"/>
      <c r="BG9" s="656"/>
      <c r="BH9" s="656"/>
      <c r="BI9" s="656"/>
      <c r="BJ9" s="656"/>
      <c r="BK9" s="656"/>
      <c r="BL9" s="656"/>
      <c r="BM9" s="656"/>
      <c r="BN9" s="656"/>
      <c r="BO9" s="656"/>
      <c r="BP9" s="656"/>
      <c r="BQ9" s="656"/>
      <c r="BR9" s="656"/>
      <c r="BS9" s="656"/>
      <c r="BT9" s="656"/>
      <c r="BU9" s="656"/>
      <c r="BV9" s="656"/>
      <c r="BW9" s="656"/>
      <c r="BX9" s="656"/>
      <c r="BY9" s="656"/>
    </row>
    <row r="10" spans="1:77">
      <c r="A10" s="312" t="s">
        <v>243</v>
      </c>
      <c r="B10" s="313"/>
      <c r="C10" s="313"/>
      <c r="D10" s="313"/>
      <c r="E10" s="313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1"/>
      <c r="AO10" s="311"/>
      <c r="AP10" s="311"/>
      <c r="AQ10" s="311"/>
      <c r="AR10" s="311"/>
      <c r="AS10" s="311"/>
      <c r="AT10" s="311"/>
      <c r="AU10" s="311"/>
      <c r="AV10" s="311"/>
      <c r="AW10" s="311"/>
      <c r="AX10" s="311"/>
      <c r="AY10" s="311"/>
      <c r="AZ10" s="311"/>
      <c r="BA10" s="311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1"/>
      <c r="BY10" s="311"/>
    </row>
    <row r="11" spans="1:77" s="307" customFormat="1">
      <c r="A11" s="314"/>
      <c r="B11" s="308">
        <v>33982.474999999999</v>
      </c>
      <c r="C11" s="308"/>
      <c r="D11" s="308"/>
      <c r="E11" s="308">
        <v>33982.474999999999</v>
      </c>
      <c r="F11" s="309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09"/>
      <c r="AT11" s="309"/>
      <c r="AU11" s="309"/>
      <c r="AV11" s="309"/>
      <c r="AW11" s="309"/>
      <c r="AX11" s="309"/>
      <c r="AY11" s="309"/>
      <c r="AZ11" s="309"/>
      <c r="BA11" s="309"/>
      <c r="BB11" s="309"/>
      <c r="BC11" s="309"/>
      <c r="BD11" s="309"/>
      <c r="BE11" s="309"/>
      <c r="BF11" s="309"/>
      <c r="BG11" s="309"/>
      <c r="BH11" s="309"/>
      <c r="BI11" s="309"/>
      <c r="BJ11" s="309"/>
      <c r="BK11" s="309"/>
      <c r="BL11" s="309"/>
      <c r="BM11" s="309"/>
      <c r="BN11" s="309"/>
      <c r="BO11" s="309"/>
      <c r="BP11" s="309"/>
      <c r="BQ11" s="309"/>
      <c r="BR11" s="309"/>
      <c r="BS11" s="309"/>
      <c r="BT11" s="309"/>
      <c r="BU11" s="309"/>
      <c r="BV11" s="309"/>
      <c r="BW11" s="309"/>
      <c r="BX11" s="309"/>
      <c r="BY11" s="309"/>
    </row>
    <row r="12" spans="1:77">
      <c r="A12" s="312" t="s">
        <v>239</v>
      </c>
      <c r="B12" s="311"/>
      <c r="C12" s="311"/>
      <c r="D12" s="313"/>
      <c r="E12" s="313"/>
      <c r="F12" s="313"/>
      <c r="G12" s="313"/>
      <c r="H12" s="313"/>
      <c r="I12" s="313"/>
      <c r="J12" s="313"/>
      <c r="K12" s="313"/>
      <c r="L12" s="313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</row>
    <row r="13" spans="1:77" s="307" customFormat="1">
      <c r="A13" s="314"/>
      <c r="B13" s="309"/>
      <c r="C13" s="309"/>
      <c r="D13" s="308">
        <v>71870.48</v>
      </c>
      <c r="E13" s="308"/>
      <c r="F13" s="308"/>
      <c r="G13" s="308">
        <v>35935.24</v>
      </c>
      <c r="H13" s="308"/>
      <c r="I13" s="308"/>
      <c r="J13" s="308"/>
      <c r="K13" s="308">
        <v>35935.24</v>
      </c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  <c r="AP13" s="309"/>
      <c r="AQ13" s="309"/>
      <c r="AR13" s="309"/>
      <c r="AS13" s="309"/>
      <c r="AT13" s="309"/>
      <c r="AU13" s="309"/>
      <c r="AV13" s="309"/>
      <c r="AW13" s="309"/>
      <c r="AX13" s="309"/>
      <c r="AY13" s="309"/>
      <c r="AZ13" s="309"/>
      <c r="BA13" s="309"/>
      <c r="BB13" s="309"/>
      <c r="BC13" s="309"/>
      <c r="BD13" s="309"/>
      <c r="BE13" s="309"/>
      <c r="BF13" s="309"/>
      <c r="BG13" s="309"/>
      <c r="BH13" s="309"/>
      <c r="BI13" s="309"/>
      <c r="BJ13" s="309"/>
      <c r="BK13" s="309"/>
      <c r="BL13" s="309"/>
      <c r="BM13" s="309"/>
      <c r="BN13" s="309"/>
      <c r="BO13" s="309"/>
      <c r="BP13" s="309"/>
      <c r="BQ13" s="309"/>
      <c r="BR13" s="309"/>
      <c r="BS13" s="309"/>
      <c r="BT13" s="309"/>
      <c r="BU13" s="309"/>
      <c r="BV13" s="309"/>
      <c r="BW13" s="309"/>
      <c r="BX13" s="309"/>
      <c r="BY13" s="309"/>
    </row>
    <row r="14" spans="1:77" ht="25.5">
      <c r="A14" s="439" t="s">
        <v>240</v>
      </c>
      <c r="B14" s="311"/>
      <c r="C14" s="311"/>
      <c r="D14" s="311"/>
      <c r="E14" s="311"/>
      <c r="F14" s="309"/>
      <c r="G14" s="309"/>
      <c r="H14" s="309"/>
      <c r="I14" s="311"/>
      <c r="J14" s="313"/>
      <c r="K14" s="313"/>
      <c r="L14" s="313"/>
      <c r="M14" s="313"/>
      <c r="N14" s="311"/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11"/>
      <c r="Z14" s="311"/>
      <c r="AA14" s="311"/>
      <c r="AB14" s="311"/>
      <c r="AC14" s="311"/>
      <c r="AD14" s="311"/>
      <c r="AE14" s="311"/>
      <c r="AF14" s="313"/>
      <c r="AG14" s="313"/>
      <c r="AH14" s="313"/>
      <c r="AI14" s="310"/>
      <c r="AJ14" s="311"/>
      <c r="AK14" s="311"/>
      <c r="AL14" s="311"/>
      <c r="AM14" s="311"/>
      <c r="AN14" s="311"/>
      <c r="AO14" s="31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</row>
    <row r="15" spans="1:77">
      <c r="A15" s="312"/>
      <c r="B15" s="311"/>
      <c r="C15" s="311"/>
      <c r="D15" s="311"/>
      <c r="E15" s="311"/>
      <c r="F15" s="309"/>
      <c r="G15" s="309"/>
      <c r="H15" s="309"/>
      <c r="I15" s="311"/>
      <c r="J15" s="308">
        <v>123042</v>
      </c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>
        <v>100000</v>
      </c>
      <c r="AI15" s="311"/>
      <c r="AJ15" s="311"/>
      <c r="AK15" s="311"/>
      <c r="AL15" s="311"/>
      <c r="AM15" s="311"/>
      <c r="AN15" s="311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1"/>
      <c r="BA15" s="311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11"/>
    </row>
    <row r="16" spans="1:77">
      <c r="A16" s="312" t="s">
        <v>241</v>
      </c>
      <c r="B16" s="311"/>
      <c r="C16" s="311"/>
      <c r="D16" s="311"/>
      <c r="E16" s="311"/>
      <c r="F16" s="311"/>
      <c r="G16" s="311"/>
      <c r="H16" s="309"/>
      <c r="I16" s="309"/>
      <c r="J16" s="309"/>
      <c r="K16" s="309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1"/>
      <c r="AH16" s="311"/>
      <c r="AI16" s="311"/>
      <c r="AJ16" s="311"/>
      <c r="AK16" s="311"/>
      <c r="AL16" s="311"/>
      <c r="AM16" s="311"/>
      <c r="AN16" s="311"/>
      <c r="AO16" s="311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311"/>
      <c r="BA16" s="311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1"/>
      <c r="BM16" s="31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</row>
    <row r="17" spans="1:77">
      <c r="A17" s="443"/>
      <c r="B17" s="442"/>
      <c r="C17" s="445"/>
      <c r="D17" s="442"/>
      <c r="E17" s="442"/>
      <c r="F17" s="311"/>
      <c r="G17" s="311"/>
      <c r="H17" s="309"/>
      <c r="I17" s="309"/>
      <c r="J17" s="309"/>
      <c r="K17" s="309"/>
      <c r="L17" s="308">
        <v>654401</v>
      </c>
      <c r="M17" s="308"/>
      <c r="N17" s="308"/>
      <c r="O17" s="308"/>
      <c r="P17" s="308">
        <v>654401</v>
      </c>
      <c r="Q17" s="308"/>
      <c r="R17" s="308"/>
      <c r="S17" s="308"/>
      <c r="T17" s="308">
        <v>654401</v>
      </c>
      <c r="U17" s="308"/>
      <c r="V17" s="308"/>
      <c r="W17" s="308"/>
      <c r="X17" s="308">
        <v>654401</v>
      </c>
      <c r="Y17" s="308"/>
      <c r="Z17" s="308"/>
      <c r="AA17" s="308"/>
      <c r="AB17" s="308">
        <v>327200.5</v>
      </c>
      <c r="AC17" s="308"/>
      <c r="AD17" s="308"/>
      <c r="AE17" s="308"/>
      <c r="AF17" s="308">
        <v>271233.5</v>
      </c>
      <c r="AG17" s="311"/>
      <c r="AH17" s="311"/>
      <c r="AI17" s="311"/>
      <c r="AJ17" s="311"/>
      <c r="AK17" s="311"/>
      <c r="AL17" s="311"/>
      <c r="AM17" s="311"/>
      <c r="AN17" s="311"/>
      <c r="AO17" s="311"/>
      <c r="AP17" s="311"/>
      <c r="AQ17" s="311"/>
      <c r="AR17" s="311"/>
      <c r="AS17" s="311"/>
      <c r="AT17" s="311"/>
      <c r="AU17" s="311"/>
      <c r="AV17" s="311"/>
      <c r="AW17" s="311"/>
      <c r="AX17" s="311"/>
      <c r="AY17" s="311"/>
      <c r="AZ17" s="311"/>
      <c r="BA17" s="311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/>
      <c r="BL17" s="311"/>
      <c r="BM17" s="311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1"/>
      <c r="BY17" s="311"/>
    </row>
    <row r="18" spans="1:77">
      <c r="A18" s="656" t="s">
        <v>244</v>
      </c>
      <c r="B18" s="656"/>
      <c r="C18" s="656"/>
      <c r="D18" s="656"/>
      <c r="E18" s="656"/>
      <c r="F18" s="656"/>
      <c r="G18" s="656"/>
      <c r="H18" s="656"/>
      <c r="I18" s="656"/>
      <c r="J18" s="656"/>
      <c r="K18" s="656"/>
      <c r="L18" s="656"/>
      <c r="M18" s="656"/>
      <c r="N18" s="656"/>
      <c r="O18" s="656"/>
      <c r="P18" s="656"/>
      <c r="Q18" s="656"/>
      <c r="R18" s="656"/>
      <c r="S18" s="656"/>
      <c r="T18" s="656"/>
      <c r="U18" s="656"/>
      <c r="V18" s="656"/>
      <c r="W18" s="656"/>
      <c r="X18" s="656"/>
      <c r="Y18" s="656"/>
      <c r="Z18" s="656"/>
      <c r="AA18" s="656"/>
      <c r="AB18" s="656"/>
      <c r="AC18" s="656"/>
      <c r="AD18" s="656"/>
      <c r="AE18" s="656"/>
      <c r="AF18" s="656"/>
      <c r="AG18" s="656"/>
      <c r="AH18" s="656"/>
      <c r="AI18" s="656"/>
      <c r="AJ18" s="656"/>
      <c r="AK18" s="656"/>
      <c r="AL18" s="656"/>
      <c r="AM18" s="656"/>
      <c r="AN18" s="656"/>
      <c r="AO18" s="656"/>
      <c r="AP18" s="656"/>
      <c r="AQ18" s="656"/>
      <c r="AR18" s="656"/>
      <c r="AS18" s="656"/>
      <c r="AT18" s="656"/>
      <c r="AU18" s="656"/>
      <c r="AV18" s="656"/>
      <c r="AW18" s="656"/>
      <c r="AX18" s="656"/>
      <c r="AY18" s="656"/>
      <c r="AZ18" s="656"/>
      <c r="BA18" s="656"/>
      <c r="BB18" s="656"/>
      <c r="BC18" s="656"/>
      <c r="BD18" s="656"/>
      <c r="BE18" s="656"/>
      <c r="BF18" s="656"/>
      <c r="BG18" s="656"/>
      <c r="BH18" s="656"/>
      <c r="BI18" s="656"/>
      <c r="BJ18" s="656"/>
      <c r="BK18" s="656"/>
      <c r="BL18" s="656"/>
      <c r="BM18" s="656"/>
      <c r="BN18" s="656"/>
      <c r="BO18" s="656"/>
      <c r="BP18" s="656"/>
      <c r="BQ18" s="656"/>
      <c r="BR18" s="656"/>
      <c r="BS18" s="656"/>
      <c r="BT18" s="656"/>
      <c r="BU18" s="656"/>
      <c r="BV18" s="656"/>
      <c r="BW18" s="656"/>
      <c r="BX18" s="656"/>
      <c r="BY18" s="656"/>
    </row>
    <row r="19" spans="1:77">
      <c r="A19" s="312" t="s">
        <v>243</v>
      </c>
      <c r="B19" s="313"/>
      <c r="C19" s="313"/>
      <c r="D19" s="313"/>
      <c r="E19" s="313"/>
      <c r="F19" s="309"/>
      <c r="G19" s="3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  <c r="AD19" s="311"/>
      <c r="AE19" s="311"/>
      <c r="AF19" s="311"/>
      <c r="AG19" s="311"/>
      <c r="AH19" s="311"/>
      <c r="AI19" s="311"/>
      <c r="AJ19" s="311"/>
      <c r="AK19" s="311"/>
      <c r="AL19" s="311"/>
      <c r="AM19" s="311"/>
      <c r="AN19" s="311"/>
      <c r="AO19" s="311"/>
      <c r="AP19" s="311"/>
      <c r="AQ19" s="311"/>
      <c r="AR19" s="311"/>
      <c r="AS19" s="311"/>
      <c r="AT19" s="311"/>
      <c r="AU19" s="311"/>
      <c r="AV19" s="311"/>
      <c r="AW19" s="311"/>
      <c r="AX19" s="311"/>
      <c r="AY19" s="311"/>
      <c r="AZ19" s="311"/>
      <c r="BA19" s="311"/>
      <c r="BB19" s="311"/>
      <c r="BC19" s="311"/>
      <c r="BD19" s="311"/>
      <c r="BE19" s="311"/>
      <c r="BF19" s="311"/>
      <c r="BG19" s="311"/>
      <c r="BH19" s="311"/>
      <c r="BI19" s="311"/>
      <c r="BJ19" s="311"/>
      <c r="BK19" s="311"/>
      <c r="BL19" s="311"/>
      <c r="BM19" s="311"/>
      <c r="BN19" s="311"/>
      <c r="BO19" s="311"/>
      <c r="BP19" s="311"/>
      <c r="BQ19" s="311"/>
      <c r="BR19" s="311"/>
      <c r="BS19" s="311"/>
      <c r="BT19" s="311"/>
      <c r="BU19" s="311"/>
      <c r="BV19" s="311"/>
      <c r="BW19" s="311"/>
      <c r="BX19" s="311"/>
      <c r="BY19" s="311"/>
    </row>
    <row r="20" spans="1:77" s="307" customFormat="1">
      <c r="A20" s="441"/>
      <c r="B20" s="308">
        <v>33982.474999999999</v>
      </c>
      <c r="C20" s="308"/>
      <c r="D20" s="308"/>
      <c r="E20" s="308">
        <v>16792.564999999999</v>
      </c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  <c r="AP20" s="309"/>
      <c r="AQ20" s="309"/>
      <c r="AR20" s="309"/>
      <c r="AS20" s="309"/>
      <c r="AT20" s="309"/>
      <c r="AU20" s="309"/>
      <c r="AV20" s="309"/>
      <c r="AW20" s="309"/>
      <c r="AX20" s="309"/>
      <c r="AY20" s="309"/>
      <c r="AZ20" s="309"/>
      <c r="BA20" s="309"/>
      <c r="BB20" s="309"/>
      <c r="BC20" s="309"/>
      <c r="BD20" s="309"/>
      <c r="BE20" s="309"/>
      <c r="BF20" s="309"/>
      <c r="BG20" s="309"/>
      <c r="BH20" s="309"/>
      <c r="BI20" s="309"/>
      <c r="BJ20" s="309"/>
      <c r="BK20" s="309"/>
      <c r="BL20" s="309"/>
      <c r="BM20" s="309"/>
      <c r="BN20" s="309"/>
      <c r="BO20" s="309"/>
      <c r="BP20" s="309"/>
      <c r="BQ20" s="309"/>
      <c r="BR20" s="309"/>
      <c r="BS20" s="309"/>
      <c r="BT20" s="309"/>
      <c r="BU20" s="309"/>
      <c r="BV20" s="309"/>
      <c r="BW20" s="309"/>
      <c r="BX20" s="309"/>
      <c r="BY20" s="309"/>
    </row>
    <row r="21" spans="1:77">
      <c r="A21" s="312" t="s">
        <v>239</v>
      </c>
      <c r="B21" s="311"/>
      <c r="C21" s="311"/>
      <c r="D21" s="313"/>
      <c r="E21" s="313"/>
      <c r="F21" s="313"/>
      <c r="G21" s="313"/>
      <c r="H21" s="313"/>
      <c r="I21" s="313"/>
      <c r="J21" s="313"/>
      <c r="K21" s="313"/>
      <c r="L21" s="309"/>
      <c r="M21" s="309"/>
      <c r="N21" s="309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  <c r="AA21" s="311"/>
      <c r="AB21" s="311"/>
      <c r="AC21" s="311"/>
      <c r="AD21" s="311"/>
      <c r="AE21" s="311"/>
      <c r="AF21" s="311"/>
      <c r="AG21" s="311"/>
      <c r="AH21" s="311"/>
      <c r="AI21" s="311"/>
      <c r="AJ21" s="311"/>
      <c r="AK21" s="311"/>
      <c r="AL21" s="311"/>
      <c r="AM21" s="311"/>
      <c r="AN21" s="311"/>
      <c r="AO21" s="311"/>
      <c r="AP21" s="311"/>
      <c r="AQ21" s="311"/>
      <c r="AR21" s="311"/>
      <c r="AS21" s="311"/>
      <c r="AT21" s="311"/>
      <c r="AU21" s="311"/>
      <c r="AV21" s="311"/>
      <c r="AW21" s="311"/>
      <c r="AX21" s="311"/>
      <c r="AY21" s="311"/>
      <c r="AZ21" s="311"/>
      <c r="BA21" s="311"/>
      <c r="BB21" s="311"/>
      <c r="BC21" s="311"/>
      <c r="BD21" s="311"/>
      <c r="BE21" s="311"/>
      <c r="BF21" s="311"/>
      <c r="BG21" s="311"/>
      <c r="BH21" s="311"/>
      <c r="BI21" s="311"/>
      <c r="BJ21" s="311"/>
      <c r="BK21" s="311"/>
      <c r="BL21" s="311"/>
      <c r="BM21" s="311"/>
      <c r="BN21" s="311"/>
      <c r="BO21" s="311"/>
      <c r="BP21" s="311"/>
      <c r="BQ21" s="311"/>
      <c r="BR21" s="311"/>
      <c r="BS21" s="311"/>
      <c r="BT21" s="311"/>
      <c r="BU21" s="311"/>
      <c r="BV21" s="311"/>
      <c r="BW21" s="311"/>
      <c r="BX21" s="311"/>
      <c r="BY21" s="311"/>
    </row>
    <row r="22" spans="1:77" s="307" customFormat="1">
      <c r="A22" s="314"/>
      <c r="B22" s="309"/>
      <c r="C22" s="309"/>
      <c r="D22" s="308">
        <v>35935.230000000003</v>
      </c>
      <c r="E22" s="308"/>
      <c r="F22" s="308"/>
      <c r="G22" s="308">
        <v>17967.615000000002</v>
      </c>
      <c r="H22" s="308"/>
      <c r="I22" s="308"/>
      <c r="J22" s="308"/>
      <c r="K22" s="308">
        <v>17967.615000000002</v>
      </c>
      <c r="L22" s="308"/>
      <c r="M22" s="308"/>
      <c r="N22" s="308"/>
      <c r="O22" s="308"/>
      <c r="P22" s="308"/>
      <c r="Q22" s="308"/>
      <c r="R22" s="308"/>
      <c r="S22" s="308"/>
      <c r="T22" s="308"/>
      <c r="U22" s="308"/>
      <c r="V22" s="308"/>
      <c r="W22" s="308"/>
      <c r="X22" s="308"/>
      <c r="Y22" s="308"/>
      <c r="Z22" s="308"/>
      <c r="AA22" s="308"/>
      <c r="AB22" s="308"/>
      <c r="AC22" s="308"/>
      <c r="AD22" s="308"/>
      <c r="AE22" s="308"/>
      <c r="AF22" s="308"/>
      <c r="AG22" s="308"/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9"/>
      <c r="AU22" s="309"/>
      <c r="AV22" s="309"/>
      <c r="AW22" s="309"/>
      <c r="AX22" s="309"/>
      <c r="AY22" s="309"/>
      <c r="AZ22" s="309"/>
      <c r="BA22" s="309"/>
      <c r="BB22" s="309"/>
      <c r="BC22" s="309"/>
      <c r="BD22" s="309"/>
      <c r="BE22" s="309"/>
      <c r="BF22" s="309"/>
      <c r="BG22" s="309"/>
      <c r="BH22" s="309"/>
      <c r="BI22" s="309"/>
      <c r="BJ22" s="309"/>
      <c r="BK22" s="309"/>
      <c r="BL22" s="309"/>
      <c r="BM22" s="309"/>
      <c r="BN22" s="309"/>
      <c r="BO22" s="309"/>
      <c r="BP22" s="309"/>
      <c r="BQ22" s="309"/>
      <c r="BR22" s="309"/>
      <c r="BS22" s="309"/>
      <c r="BT22" s="309"/>
      <c r="BU22" s="309"/>
      <c r="BV22" s="309"/>
      <c r="BW22" s="309"/>
      <c r="BX22" s="309"/>
      <c r="BY22" s="309"/>
    </row>
    <row r="23" spans="1:77">
      <c r="A23" s="312" t="s">
        <v>245</v>
      </c>
      <c r="B23" s="311"/>
      <c r="C23" s="311"/>
      <c r="D23" s="311"/>
      <c r="E23" s="311"/>
      <c r="F23" s="311"/>
      <c r="G23" s="311"/>
      <c r="H23" s="311"/>
      <c r="I23" s="311"/>
      <c r="J23" s="311"/>
      <c r="K23" s="311"/>
      <c r="L23" s="313"/>
      <c r="M23" s="313"/>
      <c r="N23" s="313"/>
      <c r="O23" s="313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3"/>
      <c r="AB23" s="313"/>
      <c r="AC23" s="313"/>
      <c r="AD23" s="311"/>
      <c r="AE23" s="311"/>
      <c r="AF23" s="311"/>
      <c r="AG23" s="311"/>
      <c r="AH23" s="311"/>
      <c r="AI23" s="311"/>
      <c r="AJ23" s="311"/>
      <c r="AK23" s="311"/>
      <c r="AL23" s="311"/>
      <c r="AM23" s="311"/>
      <c r="AN23" s="311"/>
      <c r="AO23" s="311"/>
      <c r="AP23" s="311"/>
      <c r="AQ23" s="311"/>
      <c r="AR23" s="311"/>
      <c r="AS23" s="311"/>
      <c r="AT23" s="311"/>
      <c r="AU23" s="311"/>
      <c r="AV23" s="311"/>
      <c r="AW23" s="311"/>
      <c r="AX23" s="311"/>
      <c r="AY23" s="311"/>
      <c r="AZ23" s="311"/>
      <c r="BA23" s="311"/>
      <c r="BB23" s="311"/>
      <c r="BC23" s="311"/>
      <c r="BD23" s="311"/>
      <c r="BE23" s="311"/>
      <c r="BF23" s="311"/>
      <c r="BG23" s="311"/>
      <c r="BH23" s="311"/>
      <c r="BI23" s="311"/>
      <c r="BJ23" s="311"/>
      <c r="BK23" s="311"/>
      <c r="BL23" s="311"/>
      <c r="BM23" s="311"/>
      <c r="BN23" s="311"/>
      <c r="BO23" s="311"/>
      <c r="BP23" s="311"/>
      <c r="BQ23" s="311"/>
      <c r="BR23" s="311"/>
      <c r="BS23" s="311"/>
      <c r="BT23" s="311"/>
      <c r="BU23" s="311"/>
      <c r="BV23" s="311"/>
      <c r="BW23" s="311"/>
      <c r="BX23" s="311"/>
      <c r="BY23" s="311"/>
    </row>
    <row r="24" spans="1:77">
      <c r="A24" s="438"/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08">
        <v>123042.2</v>
      </c>
      <c r="M24" s="308"/>
      <c r="N24" s="308"/>
      <c r="O24" s="308">
        <v>96098</v>
      </c>
      <c r="P24" s="308"/>
      <c r="Q24" s="308"/>
      <c r="R24" s="308"/>
      <c r="S24" s="308"/>
      <c r="T24" s="308"/>
      <c r="U24" s="308"/>
      <c r="V24" s="308"/>
      <c r="W24" s="308"/>
      <c r="X24" s="308"/>
      <c r="Y24" s="308"/>
      <c r="Z24" s="308"/>
      <c r="AA24" s="308"/>
      <c r="AB24" s="308"/>
      <c r="AC24" s="308">
        <v>96098</v>
      </c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1"/>
      <c r="AS24" s="311"/>
      <c r="AT24" s="311"/>
      <c r="AU24" s="311"/>
      <c r="AV24" s="311"/>
      <c r="AW24" s="311"/>
      <c r="AX24" s="311"/>
      <c r="AY24" s="311"/>
      <c r="AZ24" s="311"/>
      <c r="BA24" s="311"/>
      <c r="BB24" s="311"/>
      <c r="BC24" s="311"/>
      <c r="BD24" s="311"/>
      <c r="BE24" s="311"/>
      <c r="BF24" s="311"/>
      <c r="BG24" s="311"/>
      <c r="BH24" s="311"/>
      <c r="BI24" s="311"/>
      <c r="BJ24" s="311"/>
      <c r="BK24" s="311"/>
      <c r="BL24" s="311"/>
      <c r="BM24" s="311"/>
      <c r="BN24" s="311"/>
      <c r="BO24" s="311"/>
      <c r="BP24" s="311"/>
      <c r="BQ24" s="311"/>
      <c r="BR24" s="311"/>
      <c r="BS24" s="311"/>
      <c r="BT24" s="311"/>
      <c r="BU24" s="311"/>
      <c r="BV24" s="311"/>
      <c r="BW24" s="311"/>
      <c r="BX24" s="311"/>
      <c r="BY24" s="311"/>
    </row>
    <row r="25" spans="1:77">
      <c r="A25" s="312" t="s">
        <v>241</v>
      </c>
      <c r="B25" s="311"/>
      <c r="C25" s="311"/>
      <c r="D25" s="311"/>
      <c r="E25" s="311"/>
      <c r="F25" s="311"/>
      <c r="G25" s="311"/>
      <c r="H25" s="311"/>
      <c r="I25" s="311"/>
      <c r="J25" s="311"/>
      <c r="K25" s="311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1"/>
      <c r="AC25" s="311"/>
      <c r="AD25" s="311"/>
      <c r="AE25" s="311"/>
      <c r="AF25" s="311"/>
      <c r="AG25" s="311"/>
      <c r="AH25" s="311"/>
      <c r="AI25" s="311"/>
      <c r="AJ25" s="311"/>
      <c r="AK25" s="311"/>
      <c r="AL25" s="311"/>
      <c r="AM25" s="311"/>
      <c r="AN25" s="311"/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J25" s="311"/>
      <c r="BK25" s="311"/>
      <c r="BL25" s="311"/>
      <c r="BM25" s="311"/>
      <c r="BN25" s="311"/>
      <c r="BO25" s="311"/>
      <c r="BP25" s="311"/>
      <c r="BQ25" s="311"/>
      <c r="BR25" s="311"/>
      <c r="BS25" s="311"/>
      <c r="BT25" s="311"/>
      <c r="BU25" s="311"/>
      <c r="BV25" s="311"/>
      <c r="BW25" s="311"/>
      <c r="BX25" s="311"/>
      <c r="BY25" s="311"/>
    </row>
    <row r="26" spans="1:77">
      <c r="A26" s="443"/>
      <c r="B26" s="311"/>
      <c r="C26" s="311"/>
      <c r="D26" s="311"/>
      <c r="E26" s="311"/>
      <c r="F26" s="311"/>
      <c r="G26" s="311"/>
      <c r="H26" s="311"/>
      <c r="I26" s="311"/>
      <c r="J26" s="311"/>
      <c r="K26" s="311"/>
      <c r="L26" s="308">
        <v>658600.34</v>
      </c>
      <c r="M26" s="308"/>
      <c r="N26" s="308"/>
      <c r="O26" s="308"/>
      <c r="P26" s="308">
        <v>658600.34</v>
      </c>
      <c r="Q26" s="308"/>
      <c r="R26" s="308"/>
      <c r="S26" s="308"/>
      <c r="T26" s="308">
        <v>329300.15000000002</v>
      </c>
      <c r="U26" s="308"/>
      <c r="V26" s="308"/>
      <c r="W26" s="308"/>
      <c r="X26" s="308">
        <v>329300.15000000002</v>
      </c>
      <c r="Y26" s="308"/>
      <c r="Z26" s="308"/>
      <c r="AA26" s="308">
        <v>101947.22</v>
      </c>
      <c r="AB26" s="311"/>
      <c r="AC26" s="311"/>
      <c r="AD26" s="311"/>
      <c r="AE26" s="311"/>
      <c r="AF26" s="311"/>
      <c r="AG26" s="311"/>
      <c r="AH26" s="311"/>
      <c r="AI26" s="311"/>
      <c r="AJ26" s="311"/>
      <c r="AK26" s="311"/>
      <c r="AL26" s="311"/>
      <c r="AM26" s="311"/>
      <c r="AN26" s="311"/>
      <c r="AO26" s="311"/>
      <c r="AP26" s="311"/>
      <c r="AQ26" s="311"/>
      <c r="AR26" s="311"/>
      <c r="AS26" s="311"/>
      <c r="AT26" s="311"/>
      <c r="AU26" s="311"/>
      <c r="AV26" s="311"/>
      <c r="AW26" s="311"/>
      <c r="AX26" s="311"/>
      <c r="AY26" s="311"/>
      <c r="AZ26" s="311"/>
      <c r="BA26" s="311"/>
      <c r="BB26" s="311"/>
      <c r="BC26" s="311"/>
      <c r="BD26" s="311"/>
      <c r="BE26" s="311"/>
      <c r="BF26" s="311"/>
      <c r="BG26" s="311"/>
      <c r="BH26" s="311"/>
      <c r="BI26" s="311"/>
      <c r="BJ26" s="311"/>
      <c r="BK26" s="311"/>
      <c r="BL26" s="311"/>
      <c r="BM26" s="311"/>
      <c r="BN26" s="311"/>
      <c r="BO26" s="311"/>
      <c r="BP26" s="311"/>
      <c r="BQ26" s="311"/>
      <c r="BR26" s="311"/>
      <c r="BS26" s="311"/>
      <c r="BT26" s="311"/>
      <c r="BU26" s="311"/>
      <c r="BV26" s="311"/>
      <c r="BW26" s="311"/>
      <c r="BX26" s="311"/>
      <c r="BY26" s="311"/>
    </row>
    <row r="27" spans="1:77">
      <c r="A27" s="656" t="s">
        <v>246</v>
      </c>
      <c r="B27" s="656"/>
      <c r="C27" s="656"/>
      <c r="D27" s="656"/>
      <c r="E27" s="656"/>
      <c r="F27" s="656"/>
      <c r="G27" s="656"/>
      <c r="H27" s="656"/>
      <c r="I27" s="656"/>
      <c r="J27" s="656"/>
      <c r="K27" s="656"/>
      <c r="L27" s="656"/>
      <c r="M27" s="656"/>
      <c r="N27" s="656"/>
      <c r="O27" s="656"/>
      <c r="P27" s="656"/>
      <c r="Q27" s="656"/>
      <c r="R27" s="656"/>
      <c r="S27" s="656"/>
      <c r="T27" s="656"/>
      <c r="U27" s="656"/>
      <c r="V27" s="656"/>
      <c r="W27" s="656"/>
      <c r="X27" s="656"/>
      <c r="Y27" s="656"/>
      <c r="Z27" s="656"/>
      <c r="AA27" s="656"/>
      <c r="AB27" s="656"/>
      <c r="AC27" s="656"/>
      <c r="AD27" s="656"/>
      <c r="AE27" s="656"/>
      <c r="AF27" s="656"/>
      <c r="AG27" s="656"/>
      <c r="AH27" s="656"/>
      <c r="AI27" s="656"/>
      <c r="AJ27" s="656"/>
      <c r="AK27" s="656"/>
      <c r="AL27" s="656"/>
      <c r="AM27" s="656"/>
      <c r="AN27" s="656"/>
      <c r="AO27" s="656"/>
      <c r="AP27" s="656"/>
      <c r="AQ27" s="656"/>
      <c r="AR27" s="656"/>
      <c r="AS27" s="656"/>
      <c r="AT27" s="656"/>
      <c r="AU27" s="656"/>
      <c r="AV27" s="656"/>
      <c r="AW27" s="656"/>
      <c r="AX27" s="656"/>
      <c r="AY27" s="656"/>
      <c r="AZ27" s="656"/>
      <c r="BA27" s="656"/>
      <c r="BB27" s="656"/>
      <c r="BC27" s="656"/>
      <c r="BD27" s="656"/>
      <c r="BE27" s="656"/>
      <c r="BF27" s="656"/>
      <c r="BG27" s="656"/>
      <c r="BH27" s="656"/>
      <c r="BI27" s="656"/>
      <c r="BJ27" s="656"/>
      <c r="BK27" s="656"/>
      <c r="BL27" s="656"/>
      <c r="BM27" s="656"/>
      <c r="BN27" s="656"/>
      <c r="BO27" s="656"/>
      <c r="BP27" s="656"/>
      <c r="BQ27" s="656"/>
      <c r="BR27" s="656"/>
      <c r="BS27" s="656"/>
      <c r="BT27" s="656"/>
      <c r="BU27" s="656"/>
      <c r="BV27" s="656"/>
      <c r="BW27" s="656"/>
      <c r="BX27" s="656"/>
      <c r="BY27" s="656"/>
    </row>
    <row r="28" spans="1:77">
      <c r="A28" s="312" t="s">
        <v>243</v>
      </c>
      <c r="B28" s="313"/>
      <c r="C28" s="313"/>
      <c r="D28" s="313"/>
      <c r="E28" s="313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  <c r="AA28" s="311"/>
      <c r="AB28" s="311"/>
      <c r="AC28" s="311"/>
      <c r="AD28" s="311"/>
      <c r="AE28" s="311"/>
      <c r="AF28" s="311"/>
      <c r="AG28" s="311"/>
      <c r="AH28" s="311"/>
      <c r="AI28" s="311"/>
      <c r="AJ28" s="311"/>
      <c r="AK28" s="311"/>
      <c r="AL28" s="311"/>
      <c r="AM28" s="311"/>
      <c r="AN28" s="311"/>
      <c r="AO28" s="311"/>
      <c r="AP28" s="311"/>
      <c r="AQ28" s="311"/>
      <c r="AR28" s="311"/>
      <c r="AS28" s="311"/>
      <c r="AT28" s="311"/>
      <c r="AU28" s="311"/>
      <c r="AV28" s="311"/>
      <c r="AW28" s="311"/>
      <c r="AX28" s="311"/>
      <c r="AY28" s="311"/>
      <c r="AZ28" s="311"/>
      <c r="BA28" s="311"/>
      <c r="BB28" s="311"/>
      <c r="BC28" s="311"/>
      <c r="BD28" s="311"/>
      <c r="BE28" s="311"/>
      <c r="BF28" s="311"/>
      <c r="BG28" s="311"/>
      <c r="BH28" s="311"/>
      <c r="BI28" s="311"/>
      <c r="BJ28" s="311"/>
      <c r="BK28" s="311"/>
      <c r="BL28" s="311"/>
      <c r="BM28" s="311"/>
      <c r="BN28" s="311"/>
      <c r="BO28" s="311"/>
      <c r="BP28" s="311"/>
      <c r="BQ28" s="311"/>
      <c r="BR28" s="311"/>
      <c r="BS28" s="311"/>
      <c r="BT28" s="311"/>
      <c r="BU28" s="311"/>
      <c r="BV28" s="311"/>
      <c r="BW28" s="311"/>
      <c r="BX28" s="311"/>
      <c r="BY28" s="311"/>
    </row>
    <row r="29" spans="1:77" s="307" customFormat="1">
      <c r="A29" s="314"/>
      <c r="B29" s="308">
        <v>16991.237499999999</v>
      </c>
      <c r="C29" s="308"/>
      <c r="D29" s="308"/>
      <c r="E29" s="308">
        <v>33982.474999999999</v>
      </c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  <c r="AS29" s="309"/>
      <c r="AT29" s="309"/>
      <c r="AU29" s="309"/>
      <c r="AV29" s="309"/>
      <c r="AW29" s="309"/>
      <c r="AX29" s="309"/>
      <c r="AY29" s="309"/>
      <c r="AZ29" s="309"/>
      <c r="BA29" s="309"/>
      <c r="BB29" s="309"/>
      <c r="BC29" s="309"/>
      <c r="BD29" s="309"/>
      <c r="BE29" s="309"/>
      <c r="BF29" s="309"/>
      <c r="BG29" s="309"/>
      <c r="BH29" s="309"/>
      <c r="BI29" s="309"/>
      <c r="BJ29" s="309"/>
      <c r="BK29" s="309"/>
      <c r="BL29" s="309"/>
      <c r="BM29" s="309"/>
      <c r="BN29" s="309"/>
      <c r="BO29" s="309"/>
      <c r="BP29" s="309"/>
      <c r="BQ29" s="309"/>
      <c r="BR29" s="309"/>
      <c r="BS29" s="309"/>
      <c r="BT29" s="309"/>
      <c r="BU29" s="309"/>
      <c r="BV29" s="309"/>
      <c r="BW29" s="309"/>
      <c r="BX29" s="309"/>
      <c r="BY29" s="309"/>
    </row>
    <row r="30" spans="1:77">
      <c r="A30" s="312" t="s">
        <v>239</v>
      </c>
      <c r="B30" s="311"/>
      <c r="C30" s="311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1"/>
      <c r="U30" s="311"/>
      <c r="V30" s="311"/>
      <c r="W30" s="311"/>
      <c r="X30" s="311"/>
      <c r="Y30" s="311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311"/>
      <c r="AK30" s="311"/>
      <c r="AL30" s="311"/>
      <c r="AM30" s="311"/>
      <c r="AN30" s="311"/>
      <c r="AO30" s="311"/>
      <c r="AP30" s="311"/>
      <c r="AQ30" s="311"/>
      <c r="AR30" s="311"/>
      <c r="AS30" s="311"/>
      <c r="AT30" s="311"/>
      <c r="AU30" s="311"/>
      <c r="AV30" s="311"/>
      <c r="AW30" s="311"/>
      <c r="AX30" s="311"/>
      <c r="AY30" s="311"/>
      <c r="AZ30" s="311"/>
      <c r="BA30" s="311"/>
      <c r="BB30" s="311"/>
      <c r="BC30" s="311"/>
      <c r="BD30" s="311"/>
      <c r="BE30" s="311"/>
      <c r="BF30" s="311"/>
      <c r="BG30" s="311"/>
      <c r="BH30" s="311"/>
      <c r="BI30" s="311"/>
      <c r="BJ30" s="311"/>
      <c r="BK30" s="311"/>
      <c r="BL30" s="311"/>
      <c r="BM30" s="311"/>
      <c r="BN30" s="311"/>
      <c r="BO30" s="311"/>
      <c r="BP30" s="311"/>
      <c r="BQ30" s="311"/>
      <c r="BR30" s="311"/>
      <c r="BS30" s="311"/>
      <c r="BT30" s="311"/>
      <c r="BU30" s="311"/>
      <c r="BV30" s="311"/>
      <c r="BW30" s="311"/>
      <c r="BX30" s="311"/>
      <c r="BY30" s="311"/>
    </row>
    <row r="31" spans="1:77" s="307" customFormat="1">
      <c r="A31" s="314"/>
      <c r="B31" s="309"/>
      <c r="C31" s="309"/>
      <c r="D31" s="308">
        <v>71870.460000000006</v>
      </c>
      <c r="E31" s="308"/>
      <c r="F31" s="308"/>
      <c r="G31" s="308"/>
      <c r="H31" s="308"/>
      <c r="I31" s="308">
        <v>35935.230000000003</v>
      </c>
      <c r="J31" s="308"/>
      <c r="K31" s="308"/>
      <c r="L31" s="308"/>
      <c r="M31" s="308"/>
      <c r="N31" s="308">
        <v>35935.230000000003</v>
      </c>
      <c r="O31" s="308"/>
      <c r="P31" s="308"/>
      <c r="Q31" s="308"/>
      <c r="R31" s="308">
        <v>25000</v>
      </c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09"/>
      <c r="AX31" s="309"/>
      <c r="AY31" s="309"/>
      <c r="AZ31" s="309"/>
      <c r="BA31" s="309"/>
      <c r="BB31" s="309"/>
      <c r="BC31" s="309"/>
      <c r="BD31" s="309"/>
      <c r="BE31" s="309"/>
      <c r="BF31" s="309"/>
      <c r="BG31" s="309"/>
      <c r="BH31" s="309"/>
      <c r="BI31" s="309"/>
      <c r="BJ31" s="309"/>
      <c r="BK31" s="309"/>
      <c r="BL31" s="309"/>
      <c r="BM31" s="309"/>
      <c r="BN31" s="309"/>
      <c r="BO31" s="309"/>
      <c r="BP31" s="309"/>
      <c r="BQ31" s="309"/>
      <c r="BR31" s="309"/>
      <c r="BS31" s="309"/>
      <c r="BT31" s="309"/>
      <c r="BU31" s="309"/>
      <c r="BV31" s="309"/>
      <c r="BW31" s="309"/>
      <c r="BX31" s="309"/>
      <c r="BY31" s="309"/>
    </row>
    <row r="32" spans="1:77" ht="25.5">
      <c r="A32" s="439" t="s">
        <v>247</v>
      </c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3"/>
      <c r="Q32" s="313"/>
      <c r="R32" s="313"/>
      <c r="S32" s="313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1"/>
      <c r="AW32" s="311"/>
      <c r="AX32" s="311"/>
      <c r="AY32" s="311"/>
      <c r="AZ32" s="311"/>
      <c r="BA32" s="311"/>
      <c r="BB32" s="313"/>
      <c r="BC32" s="313"/>
      <c r="BD32" s="313"/>
      <c r="BE32" s="313"/>
      <c r="BF32" s="311"/>
      <c r="BG32" s="311"/>
      <c r="BH32" s="311"/>
      <c r="BI32" s="311"/>
      <c r="BJ32" s="311"/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</row>
    <row r="33" spans="1:77" s="307" customFormat="1">
      <c r="A33" s="314"/>
      <c r="B33" s="444"/>
      <c r="C33" s="309"/>
      <c r="D33" s="309"/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8">
        <v>123042</v>
      </c>
      <c r="Q33" s="308"/>
      <c r="R33" s="308"/>
      <c r="S33" s="308"/>
      <c r="T33" s="308"/>
      <c r="U33" s="308"/>
      <c r="V33" s="308"/>
      <c r="W33" s="308"/>
      <c r="X33" s="308"/>
      <c r="Y33" s="308"/>
      <c r="Z33" s="308"/>
      <c r="AA33" s="308"/>
      <c r="AB33" s="308"/>
      <c r="AC33" s="308"/>
      <c r="AD33" s="308"/>
      <c r="AE33" s="308"/>
      <c r="AF33" s="308"/>
      <c r="AG33" s="308"/>
      <c r="AH33" s="308"/>
      <c r="AI33" s="308"/>
      <c r="AJ33" s="308"/>
      <c r="AK33" s="308"/>
      <c r="AL33" s="308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>
        <v>177262</v>
      </c>
      <c r="BC33" s="309"/>
      <c r="BD33" s="309"/>
      <c r="BE33" s="310"/>
      <c r="BF33" s="309"/>
      <c r="BG33" s="309"/>
      <c r="BH33" s="309"/>
      <c r="BI33" s="309"/>
      <c r="BJ33" s="309"/>
      <c r="BK33" s="309"/>
      <c r="BL33" s="309"/>
      <c r="BM33" s="309"/>
      <c r="BN33" s="309"/>
      <c r="BO33" s="309"/>
      <c r="BP33" s="309"/>
      <c r="BQ33" s="309"/>
      <c r="BR33" s="309"/>
      <c r="BS33" s="309"/>
      <c r="BT33" s="309"/>
      <c r="BU33" s="309"/>
      <c r="BV33" s="309"/>
      <c r="BW33" s="309"/>
      <c r="BX33" s="309"/>
      <c r="BY33" s="309"/>
    </row>
    <row r="34" spans="1:77">
      <c r="A34" s="312" t="s">
        <v>241</v>
      </c>
      <c r="B34" s="442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313"/>
      <c r="BE34" s="313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</row>
    <row r="35" spans="1:77">
      <c r="A35" s="443"/>
      <c r="B35" s="442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08">
        <v>196000</v>
      </c>
      <c r="S35" s="308"/>
      <c r="T35" s="308"/>
      <c r="U35" s="308"/>
      <c r="V35" s="308">
        <v>196000</v>
      </c>
      <c r="W35" s="308"/>
      <c r="X35" s="308"/>
      <c r="Y35" s="308"/>
      <c r="Z35" s="308">
        <v>196000</v>
      </c>
      <c r="AA35" s="308"/>
      <c r="AB35" s="308"/>
      <c r="AC35" s="308"/>
      <c r="AD35" s="308">
        <v>196000</v>
      </c>
      <c r="AE35" s="308"/>
      <c r="AF35" s="308"/>
      <c r="AG35" s="308"/>
      <c r="AH35" s="308">
        <v>196000</v>
      </c>
      <c r="AI35" s="308"/>
      <c r="AJ35" s="308"/>
      <c r="AK35" s="308"/>
      <c r="AL35" s="308">
        <v>196000</v>
      </c>
      <c r="AM35" s="308"/>
      <c r="AN35" s="308"/>
      <c r="AO35" s="308"/>
      <c r="AP35" s="308">
        <v>196000</v>
      </c>
      <c r="AQ35" s="308"/>
      <c r="AR35" s="308"/>
      <c r="AS35" s="308"/>
      <c r="AT35" s="308">
        <v>554000</v>
      </c>
      <c r="AU35" s="308"/>
      <c r="AV35" s="308"/>
      <c r="AW35" s="308"/>
      <c r="AX35" s="308">
        <v>554000</v>
      </c>
      <c r="AY35" s="308"/>
      <c r="AZ35" s="308"/>
      <c r="BA35" s="308"/>
      <c r="BB35" s="308">
        <v>375000</v>
      </c>
      <c r="BC35" s="308"/>
      <c r="BD35" s="308"/>
      <c r="BE35" s="308">
        <v>179000</v>
      </c>
      <c r="BF35" s="311"/>
      <c r="BG35" s="311"/>
      <c r="BH35" s="311"/>
      <c r="BI35" s="311"/>
      <c r="BJ35" s="311"/>
      <c r="BK35" s="311"/>
      <c r="BL35" s="311"/>
      <c r="BM35" s="311"/>
      <c r="BN35" s="311"/>
      <c r="BO35" s="311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</row>
    <row r="36" spans="1:77">
      <c r="A36" s="656" t="s">
        <v>248</v>
      </c>
      <c r="B36" s="656"/>
      <c r="C36" s="656"/>
      <c r="D36" s="656"/>
      <c r="E36" s="656"/>
      <c r="F36" s="656"/>
      <c r="G36" s="656"/>
      <c r="H36" s="656"/>
      <c r="I36" s="656"/>
      <c r="J36" s="656"/>
      <c r="K36" s="656"/>
      <c r="L36" s="656"/>
      <c r="M36" s="656"/>
      <c r="N36" s="656"/>
      <c r="O36" s="656"/>
      <c r="P36" s="656"/>
      <c r="Q36" s="656"/>
      <c r="R36" s="656"/>
      <c r="S36" s="656"/>
      <c r="T36" s="656"/>
      <c r="U36" s="656"/>
      <c r="V36" s="656"/>
      <c r="W36" s="656"/>
      <c r="X36" s="656"/>
      <c r="Y36" s="656"/>
      <c r="Z36" s="656"/>
      <c r="AA36" s="656"/>
      <c r="AB36" s="656"/>
      <c r="AC36" s="656"/>
      <c r="AD36" s="656"/>
      <c r="AE36" s="656"/>
      <c r="AF36" s="656"/>
      <c r="AG36" s="656"/>
      <c r="AH36" s="656"/>
      <c r="AI36" s="656"/>
      <c r="AJ36" s="656"/>
      <c r="AK36" s="656"/>
      <c r="AL36" s="656"/>
      <c r="AM36" s="656"/>
      <c r="AN36" s="656"/>
      <c r="AO36" s="656"/>
      <c r="AP36" s="656"/>
      <c r="AQ36" s="656"/>
      <c r="AR36" s="656"/>
      <c r="AS36" s="656"/>
      <c r="AT36" s="656"/>
      <c r="AU36" s="656"/>
      <c r="AV36" s="656"/>
      <c r="AW36" s="656"/>
      <c r="AX36" s="656"/>
      <c r="AY36" s="656"/>
      <c r="AZ36" s="656"/>
      <c r="BA36" s="656"/>
      <c r="BB36" s="656"/>
      <c r="BC36" s="656"/>
      <c r="BD36" s="656"/>
      <c r="BE36" s="656"/>
      <c r="BF36" s="656"/>
      <c r="BG36" s="656"/>
      <c r="BH36" s="656"/>
      <c r="BI36" s="656"/>
      <c r="BJ36" s="656"/>
      <c r="BK36" s="656"/>
      <c r="BL36" s="656"/>
      <c r="BM36" s="656"/>
      <c r="BN36" s="656"/>
      <c r="BO36" s="656"/>
      <c r="BP36" s="656"/>
      <c r="BQ36" s="656"/>
      <c r="BR36" s="656"/>
      <c r="BS36" s="656"/>
      <c r="BT36" s="656"/>
      <c r="BU36" s="656"/>
      <c r="BV36" s="656"/>
      <c r="BW36" s="656"/>
      <c r="BX36" s="656"/>
      <c r="BY36" s="656"/>
    </row>
    <row r="37" spans="1:77">
      <c r="A37" s="312" t="s">
        <v>243</v>
      </c>
      <c r="B37" s="313"/>
      <c r="C37" s="313"/>
      <c r="D37" s="313"/>
      <c r="E37" s="313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  <c r="AN37" s="311"/>
      <c r="AO37" s="311"/>
      <c r="AP37" s="311"/>
      <c r="AQ37" s="311"/>
      <c r="AR37" s="311"/>
      <c r="AS37" s="311"/>
      <c r="AT37" s="311"/>
      <c r="AU37" s="311"/>
      <c r="AV37" s="311"/>
      <c r="AW37" s="311"/>
      <c r="AX37" s="311"/>
      <c r="AY37" s="311"/>
      <c r="AZ37" s="311"/>
      <c r="BA37" s="311"/>
      <c r="BB37" s="311"/>
      <c r="BC37" s="311"/>
      <c r="BD37" s="311"/>
      <c r="BE37" s="311"/>
      <c r="BF37" s="311"/>
      <c r="BG37" s="311"/>
      <c r="BH37" s="311"/>
      <c r="BI37" s="311"/>
      <c r="BJ37" s="311"/>
      <c r="BK37" s="311"/>
      <c r="BL37" s="311"/>
      <c r="BM37" s="311"/>
      <c r="BN37" s="311"/>
      <c r="BO37" s="311"/>
      <c r="BP37" s="311"/>
      <c r="BQ37" s="311"/>
      <c r="BR37" s="311"/>
      <c r="BS37" s="311"/>
      <c r="BT37" s="311"/>
      <c r="BU37" s="311"/>
      <c r="BV37" s="311"/>
      <c r="BW37" s="311"/>
      <c r="BX37" s="311"/>
      <c r="BY37" s="311"/>
    </row>
    <row r="38" spans="1:77" s="307" customFormat="1">
      <c r="A38" s="314"/>
      <c r="B38" s="310">
        <f>B11</f>
        <v>33982.474999999999</v>
      </c>
      <c r="C38" s="310"/>
      <c r="D38" s="310"/>
      <c r="E38" s="310">
        <f>E47</f>
        <v>16991.237499999999</v>
      </c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  <c r="AS38" s="309"/>
      <c r="AT38" s="309"/>
      <c r="AU38" s="309"/>
      <c r="AV38" s="309"/>
      <c r="AW38" s="309"/>
      <c r="AX38" s="309"/>
      <c r="AY38" s="309"/>
      <c r="AZ38" s="309"/>
      <c r="BA38" s="309"/>
      <c r="BB38" s="309"/>
      <c r="BC38" s="309"/>
      <c r="BD38" s="309"/>
      <c r="BE38" s="309"/>
      <c r="BF38" s="309"/>
      <c r="BG38" s="309"/>
      <c r="BH38" s="309"/>
      <c r="BI38" s="309"/>
      <c r="BJ38" s="309"/>
      <c r="BK38" s="309"/>
      <c r="BL38" s="309"/>
      <c r="BM38" s="309"/>
      <c r="BN38" s="309"/>
      <c r="BO38" s="309"/>
      <c r="BP38" s="309"/>
      <c r="BQ38" s="309"/>
      <c r="BR38" s="309"/>
      <c r="BS38" s="309"/>
      <c r="BT38" s="309"/>
      <c r="BU38" s="309"/>
      <c r="BV38" s="309"/>
      <c r="BW38" s="309"/>
      <c r="BX38" s="309"/>
      <c r="BY38" s="309"/>
    </row>
    <row r="39" spans="1:77">
      <c r="A39" s="312" t="s">
        <v>239</v>
      </c>
      <c r="B39" s="311"/>
      <c r="C39" s="311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09"/>
      <c r="Q39" s="309"/>
      <c r="R39" s="309"/>
      <c r="S39" s="309"/>
      <c r="T39" s="311"/>
      <c r="U39" s="311"/>
      <c r="V39" s="311"/>
      <c r="W39" s="311"/>
      <c r="X39" s="311"/>
      <c r="Y39" s="311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  <c r="AN39" s="311"/>
      <c r="AO39" s="311"/>
      <c r="AP39" s="311"/>
      <c r="AQ39" s="311"/>
      <c r="AR39" s="311"/>
      <c r="AS39" s="311"/>
      <c r="AT39" s="311"/>
      <c r="AU39" s="311"/>
      <c r="AV39" s="311"/>
      <c r="AW39" s="311"/>
      <c r="AX39" s="311"/>
      <c r="AY39" s="311"/>
      <c r="AZ39" s="311"/>
      <c r="BA39" s="311"/>
      <c r="BB39" s="311"/>
      <c r="BC39" s="311"/>
      <c r="BD39" s="311"/>
      <c r="BE39" s="311"/>
      <c r="BF39" s="311"/>
      <c r="BG39" s="311"/>
      <c r="BH39" s="311"/>
      <c r="BI39" s="311"/>
      <c r="BJ39" s="311"/>
      <c r="BK39" s="311"/>
      <c r="BL39" s="311"/>
      <c r="BM39" s="311"/>
      <c r="BN39" s="311"/>
      <c r="BO39" s="311"/>
      <c r="BP39" s="311"/>
      <c r="BQ39" s="311"/>
      <c r="BR39" s="311"/>
      <c r="BS39" s="311"/>
      <c r="BT39" s="311"/>
      <c r="BU39" s="311"/>
      <c r="BV39" s="311"/>
      <c r="BW39" s="311"/>
      <c r="BX39" s="311"/>
      <c r="BY39" s="311"/>
    </row>
    <row r="40" spans="1:77" s="307" customFormat="1">
      <c r="A40" s="314"/>
      <c r="B40" s="309"/>
      <c r="C40" s="309"/>
      <c r="D40" s="308">
        <v>86338.060000000012</v>
      </c>
      <c r="E40" s="308"/>
      <c r="F40" s="308"/>
      <c r="G40" s="308">
        <v>35935.24</v>
      </c>
      <c r="H40" s="308"/>
      <c r="I40" s="308"/>
      <c r="J40" s="308"/>
      <c r="K40" s="308">
        <v>35935.24</v>
      </c>
      <c r="L40" s="308"/>
      <c r="M40" s="308"/>
      <c r="N40" s="308"/>
      <c r="O40" s="308">
        <v>14000</v>
      </c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  <c r="AS40" s="309"/>
      <c r="AT40" s="309"/>
      <c r="AU40" s="309"/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09"/>
      <c r="BI40" s="309"/>
      <c r="BJ40" s="309"/>
      <c r="BK40" s="309"/>
      <c r="BL40" s="309"/>
      <c r="BM40" s="309"/>
      <c r="BN40" s="309"/>
      <c r="BO40" s="309"/>
      <c r="BP40" s="309"/>
      <c r="BQ40" s="309"/>
      <c r="BR40" s="309"/>
      <c r="BS40" s="309"/>
      <c r="BT40" s="309"/>
      <c r="BU40" s="309"/>
      <c r="BV40" s="309"/>
      <c r="BW40" s="309"/>
      <c r="BX40" s="309"/>
      <c r="BY40" s="309"/>
    </row>
    <row r="41" spans="1:77" ht="25.5">
      <c r="A41" s="439" t="s">
        <v>247</v>
      </c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3"/>
      <c r="N41" s="313"/>
      <c r="O41" s="313"/>
      <c r="P41" s="311"/>
      <c r="Q41" s="309"/>
      <c r="R41" s="309"/>
      <c r="S41" s="309"/>
      <c r="T41" s="311"/>
      <c r="U41" s="311"/>
      <c r="V41" s="311"/>
      <c r="W41" s="311"/>
      <c r="X41" s="311"/>
      <c r="Y41" s="311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3"/>
      <c r="AS41" s="313"/>
      <c r="AT41" s="313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</row>
    <row r="42" spans="1:77" s="307" customFormat="1">
      <c r="A42" s="440"/>
      <c r="B42" s="309"/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8">
        <v>80643.049999999988</v>
      </c>
      <c r="N42" s="308"/>
      <c r="O42" s="308">
        <v>61286.1</v>
      </c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>
        <v>100000</v>
      </c>
      <c r="AU42" s="309"/>
      <c r="AV42" s="309"/>
      <c r="AW42" s="309"/>
      <c r="AX42" s="309"/>
      <c r="AY42" s="309"/>
      <c r="AZ42" s="309"/>
      <c r="BA42" s="309"/>
      <c r="BB42" s="309"/>
      <c r="BC42" s="309"/>
      <c r="BD42" s="309"/>
      <c r="BE42" s="309"/>
      <c r="BF42" s="309"/>
      <c r="BG42" s="309"/>
      <c r="BH42" s="309"/>
      <c r="BI42" s="309"/>
      <c r="BJ42" s="309"/>
      <c r="BK42" s="309"/>
      <c r="BL42" s="309"/>
      <c r="BM42" s="309"/>
      <c r="BN42" s="309"/>
      <c r="BO42" s="309"/>
      <c r="BP42" s="309"/>
      <c r="BQ42" s="309"/>
      <c r="BR42" s="309"/>
      <c r="BS42" s="309"/>
      <c r="BT42" s="309"/>
      <c r="BU42" s="309"/>
      <c r="BV42" s="309"/>
      <c r="BW42" s="309"/>
      <c r="BX42" s="309"/>
      <c r="BY42" s="309"/>
    </row>
    <row r="43" spans="1:77">
      <c r="A43" s="312" t="s">
        <v>241</v>
      </c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</row>
    <row r="44" spans="1:77" s="307" customFormat="1">
      <c r="A44" s="441"/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8">
        <v>202279.81</v>
      </c>
      <c r="P44" s="308"/>
      <c r="Q44" s="308"/>
      <c r="R44" s="308"/>
      <c r="S44" s="308">
        <v>101139.905</v>
      </c>
      <c r="T44" s="308"/>
      <c r="U44" s="308"/>
      <c r="V44" s="308"/>
      <c r="W44" s="308">
        <v>101139.905</v>
      </c>
      <c r="X44" s="308"/>
      <c r="Y44" s="308"/>
      <c r="Z44" s="308"/>
      <c r="AA44" s="308">
        <v>202279.81</v>
      </c>
      <c r="AB44" s="308"/>
      <c r="AC44" s="308"/>
      <c r="AD44" s="308"/>
      <c r="AE44" s="308">
        <v>202279.81</v>
      </c>
      <c r="AF44" s="308"/>
      <c r="AG44" s="308"/>
      <c r="AH44" s="308"/>
      <c r="AI44" s="308">
        <v>202279.81</v>
      </c>
      <c r="AJ44" s="308"/>
      <c r="AK44" s="308"/>
      <c r="AL44" s="308"/>
      <c r="AM44" s="308">
        <v>202279.81</v>
      </c>
      <c r="AN44" s="308"/>
      <c r="AO44" s="308"/>
      <c r="AP44" s="308"/>
      <c r="AQ44" s="308">
        <v>101139.905</v>
      </c>
      <c r="AR44" s="308"/>
      <c r="AS44" s="308"/>
      <c r="AT44" s="308">
        <v>101139.905</v>
      </c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09"/>
      <c r="BF44" s="309"/>
      <c r="BG44" s="309"/>
      <c r="BH44" s="309"/>
      <c r="BI44" s="309"/>
      <c r="BJ44" s="309"/>
      <c r="BK44" s="309"/>
      <c r="BL44" s="309"/>
      <c r="BM44" s="309"/>
      <c r="BN44" s="309"/>
      <c r="BO44" s="309"/>
      <c r="BP44" s="309"/>
      <c r="BQ44" s="309"/>
      <c r="BR44" s="309"/>
      <c r="BS44" s="309"/>
      <c r="BT44" s="309"/>
      <c r="BU44" s="309"/>
      <c r="BV44" s="309"/>
      <c r="BW44" s="309"/>
      <c r="BX44" s="309"/>
      <c r="BY44" s="309"/>
    </row>
    <row r="45" spans="1:77">
      <c r="A45" s="656" t="s">
        <v>249</v>
      </c>
      <c r="B45" s="656"/>
      <c r="C45" s="656"/>
      <c r="D45" s="656"/>
      <c r="E45" s="656"/>
      <c r="F45" s="656"/>
      <c r="G45" s="656"/>
      <c r="H45" s="656"/>
      <c r="I45" s="656"/>
      <c r="J45" s="656"/>
      <c r="K45" s="656"/>
      <c r="L45" s="656"/>
      <c r="M45" s="656"/>
      <c r="N45" s="656"/>
      <c r="O45" s="656"/>
      <c r="P45" s="656"/>
      <c r="Q45" s="656"/>
      <c r="R45" s="656"/>
      <c r="S45" s="656"/>
      <c r="T45" s="656"/>
      <c r="U45" s="656"/>
      <c r="V45" s="656"/>
      <c r="W45" s="656"/>
      <c r="X45" s="656"/>
      <c r="Y45" s="656"/>
      <c r="Z45" s="656"/>
      <c r="AA45" s="656"/>
      <c r="AB45" s="656"/>
      <c r="AC45" s="656"/>
      <c r="AD45" s="656"/>
      <c r="AE45" s="656"/>
      <c r="AF45" s="656"/>
      <c r="AG45" s="656"/>
      <c r="AH45" s="656"/>
      <c r="AI45" s="656"/>
      <c r="AJ45" s="656"/>
      <c r="AK45" s="656"/>
      <c r="AL45" s="656"/>
      <c r="AM45" s="656"/>
      <c r="AN45" s="656"/>
      <c r="AO45" s="656"/>
      <c r="AP45" s="656"/>
      <c r="AQ45" s="656"/>
      <c r="AR45" s="656"/>
      <c r="AS45" s="656"/>
      <c r="AT45" s="656"/>
      <c r="AU45" s="656"/>
      <c r="AV45" s="656"/>
      <c r="AW45" s="656"/>
      <c r="AX45" s="656"/>
      <c r="AY45" s="656"/>
      <c r="AZ45" s="656"/>
      <c r="BA45" s="656"/>
      <c r="BB45" s="656"/>
      <c r="BC45" s="656"/>
      <c r="BD45" s="656"/>
      <c r="BE45" s="656"/>
      <c r="BF45" s="656"/>
      <c r="BG45" s="656"/>
      <c r="BH45" s="656"/>
      <c r="BI45" s="656"/>
      <c r="BJ45" s="656"/>
      <c r="BK45" s="656"/>
      <c r="BL45" s="656"/>
      <c r="BM45" s="656"/>
      <c r="BN45" s="656"/>
      <c r="BO45" s="656"/>
      <c r="BP45" s="656"/>
      <c r="BQ45" s="656"/>
      <c r="BR45" s="656"/>
      <c r="BS45" s="656"/>
      <c r="BT45" s="656"/>
      <c r="BU45" s="656"/>
      <c r="BV45" s="656"/>
      <c r="BW45" s="656"/>
      <c r="BX45" s="656"/>
      <c r="BY45" s="656"/>
    </row>
    <row r="46" spans="1:77">
      <c r="A46" s="312" t="s">
        <v>243</v>
      </c>
      <c r="B46" s="313"/>
      <c r="C46" s="313"/>
      <c r="D46" s="313"/>
      <c r="E46" s="313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311"/>
      <c r="Q46" s="311"/>
      <c r="R46" s="311"/>
      <c r="S46" s="311"/>
      <c r="T46" s="311"/>
      <c r="U46" s="311"/>
      <c r="V46" s="311"/>
      <c r="W46" s="311"/>
      <c r="X46" s="311"/>
      <c r="Y46" s="311"/>
      <c r="Z46" s="311"/>
      <c r="AA46" s="311"/>
      <c r="AB46" s="311"/>
      <c r="AC46" s="311"/>
      <c r="AD46" s="311"/>
      <c r="AE46" s="311"/>
      <c r="AF46" s="311"/>
      <c r="AG46" s="311"/>
      <c r="AH46" s="311"/>
      <c r="AI46" s="311"/>
      <c r="AJ46" s="311"/>
      <c r="AK46" s="311"/>
      <c r="AL46" s="311"/>
      <c r="AM46" s="311"/>
      <c r="AN46" s="311"/>
      <c r="AO46" s="311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1"/>
      <c r="BA46" s="311"/>
      <c r="BB46" s="311"/>
      <c r="BC46" s="311"/>
      <c r="BD46" s="311"/>
      <c r="BE46" s="311"/>
      <c r="BF46" s="311"/>
      <c r="BG46" s="311"/>
      <c r="BH46" s="311"/>
      <c r="BI46" s="311"/>
      <c r="BJ46" s="311"/>
      <c r="BK46" s="311"/>
      <c r="BL46" s="311"/>
      <c r="BM46" s="311"/>
      <c r="BN46" s="311"/>
      <c r="BO46" s="311"/>
      <c r="BP46" s="311"/>
      <c r="BQ46" s="311"/>
      <c r="BR46" s="311"/>
      <c r="BS46" s="311"/>
      <c r="BT46" s="311"/>
      <c r="BU46" s="311"/>
      <c r="BV46" s="311"/>
      <c r="BW46" s="311"/>
      <c r="BX46" s="311"/>
      <c r="BY46" s="311"/>
    </row>
    <row r="47" spans="1:77" s="307" customFormat="1">
      <c r="A47" s="441"/>
      <c r="B47" s="310">
        <f>B29</f>
        <v>16991.237499999999</v>
      </c>
      <c r="C47" s="310"/>
      <c r="D47" s="310"/>
      <c r="E47" s="310">
        <f>B29</f>
        <v>16991.237499999999</v>
      </c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  <c r="AS47" s="309"/>
      <c r="AT47" s="309"/>
      <c r="AU47" s="309"/>
      <c r="AV47" s="309"/>
      <c r="AW47" s="309"/>
      <c r="AX47" s="309"/>
      <c r="AY47" s="309"/>
      <c r="AZ47" s="309"/>
      <c r="BA47" s="309"/>
      <c r="BB47" s="309"/>
      <c r="BC47" s="309"/>
      <c r="BD47" s="309"/>
      <c r="BE47" s="309"/>
      <c r="BF47" s="309"/>
      <c r="BG47" s="309"/>
      <c r="BH47" s="309"/>
      <c r="BI47" s="309"/>
      <c r="BJ47" s="309"/>
      <c r="BK47" s="309"/>
      <c r="BL47" s="309"/>
      <c r="BM47" s="309"/>
      <c r="BN47" s="309"/>
      <c r="BO47" s="309"/>
      <c r="BP47" s="309"/>
      <c r="BQ47" s="309"/>
      <c r="BR47" s="309"/>
      <c r="BS47" s="309"/>
      <c r="BT47" s="309"/>
      <c r="BU47" s="309"/>
      <c r="BV47" s="309"/>
      <c r="BW47" s="309"/>
      <c r="BX47" s="309"/>
      <c r="BY47" s="309"/>
    </row>
    <row r="48" spans="1:77">
      <c r="A48" s="312" t="s">
        <v>239</v>
      </c>
      <c r="B48" s="311"/>
      <c r="C48" s="311"/>
      <c r="D48" s="313"/>
      <c r="E48" s="313"/>
      <c r="F48" s="313"/>
      <c r="G48" s="313"/>
      <c r="H48" s="313"/>
      <c r="I48" s="313"/>
      <c r="J48" s="313"/>
      <c r="K48" s="313"/>
      <c r="L48" s="309"/>
      <c r="M48" s="309"/>
      <c r="N48" s="309"/>
      <c r="O48" s="309"/>
      <c r="P48" s="309"/>
      <c r="Q48" s="309"/>
      <c r="R48" s="309"/>
      <c r="S48" s="309"/>
      <c r="T48" s="311"/>
      <c r="U48" s="311"/>
      <c r="V48" s="311"/>
      <c r="W48" s="311"/>
      <c r="X48" s="311"/>
      <c r="Y48" s="311"/>
      <c r="Z48" s="311"/>
      <c r="AA48" s="311"/>
      <c r="AB48" s="311"/>
      <c r="AC48" s="311"/>
      <c r="AD48" s="311"/>
      <c r="AE48" s="311"/>
      <c r="AF48" s="311"/>
      <c r="AG48" s="311"/>
      <c r="AH48" s="311"/>
      <c r="AI48" s="311"/>
      <c r="AJ48" s="311"/>
      <c r="AK48" s="311"/>
      <c r="AL48" s="311"/>
      <c r="AM48" s="311"/>
      <c r="AN48" s="311"/>
      <c r="AO48" s="311"/>
      <c r="AP48" s="311"/>
      <c r="AQ48" s="311"/>
      <c r="AR48" s="311"/>
      <c r="AS48" s="311"/>
      <c r="AT48" s="311"/>
      <c r="AU48" s="311"/>
      <c r="AV48" s="311"/>
      <c r="AW48" s="311"/>
      <c r="AX48" s="311"/>
      <c r="AY48" s="311"/>
      <c r="AZ48" s="311"/>
      <c r="BA48" s="311"/>
      <c r="BB48" s="311"/>
      <c r="BC48" s="311"/>
      <c r="BD48" s="311"/>
      <c r="BE48" s="311"/>
      <c r="BF48" s="311"/>
      <c r="BG48" s="311"/>
      <c r="BH48" s="311"/>
      <c r="BI48" s="311"/>
      <c r="BJ48" s="311"/>
      <c r="BK48" s="311"/>
      <c r="BL48" s="311"/>
      <c r="BM48" s="311"/>
      <c r="BN48" s="311"/>
      <c r="BO48" s="311"/>
      <c r="BP48" s="311"/>
      <c r="BQ48" s="311"/>
      <c r="BR48" s="311"/>
      <c r="BS48" s="311"/>
      <c r="BT48" s="311"/>
      <c r="BU48" s="311"/>
      <c r="BV48" s="311"/>
      <c r="BW48" s="311"/>
      <c r="BX48" s="311"/>
      <c r="BY48" s="311"/>
    </row>
    <row r="49" spans="1:77" s="307" customFormat="1">
      <c r="A49" s="314"/>
      <c r="B49" s="309"/>
      <c r="C49" s="309"/>
      <c r="D49" s="308">
        <v>86338.060000000012</v>
      </c>
      <c r="E49" s="308"/>
      <c r="F49" s="308"/>
      <c r="G49" s="308">
        <v>25402.859999999997</v>
      </c>
      <c r="H49" s="308"/>
      <c r="I49" s="308"/>
      <c r="J49" s="308"/>
      <c r="K49" s="308">
        <v>35935.24</v>
      </c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  <c r="AS49" s="309"/>
      <c r="AT49" s="309"/>
      <c r="AU49" s="309"/>
      <c r="AV49" s="309"/>
      <c r="AW49" s="309"/>
      <c r="AX49" s="309"/>
      <c r="AY49" s="309"/>
      <c r="AZ49" s="309"/>
      <c r="BA49" s="309"/>
      <c r="BB49" s="309"/>
      <c r="BC49" s="309"/>
      <c r="BD49" s="309"/>
      <c r="BE49" s="309"/>
      <c r="BF49" s="309"/>
      <c r="BG49" s="309"/>
      <c r="BH49" s="309"/>
      <c r="BI49" s="309"/>
      <c r="BJ49" s="309"/>
      <c r="BK49" s="309"/>
      <c r="BL49" s="309"/>
      <c r="BM49" s="309"/>
      <c r="BN49" s="309"/>
      <c r="BO49" s="309"/>
      <c r="BP49" s="309"/>
      <c r="BQ49" s="309"/>
      <c r="BR49" s="309"/>
      <c r="BS49" s="309"/>
      <c r="BT49" s="309"/>
      <c r="BU49" s="309"/>
      <c r="BV49" s="309"/>
      <c r="BW49" s="309"/>
      <c r="BX49" s="309"/>
      <c r="BY49" s="309"/>
    </row>
    <row r="50" spans="1:77" ht="25.5">
      <c r="A50" s="439" t="s">
        <v>247</v>
      </c>
      <c r="B50" s="311"/>
      <c r="C50" s="311"/>
      <c r="D50" s="311"/>
      <c r="E50" s="311"/>
      <c r="F50" s="311"/>
      <c r="G50" s="311"/>
      <c r="H50" s="311"/>
      <c r="I50" s="311"/>
      <c r="J50" s="311"/>
      <c r="K50" s="313"/>
      <c r="L50" s="313"/>
      <c r="M50" s="313"/>
      <c r="N50" s="311"/>
      <c r="O50" s="309"/>
      <c r="P50" s="309"/>
      <c r="Q50" s="309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11"/>
      <c r="AC50" s="311"/>
      <c r="AD50" s="311"/>
      <c r="AE50" s="311"/>
      <c r="AF50" s="311"/>
      <c r="AG50" s="309"/>
      <c r="AH50" s="313"/>
      <c r="AI50" s="313"/>
      <c r="AJ50" s="313"/>
      <c r="AK50" s="311"/>
      <c r="AL50" s="311"/>
      <c r="AM50" s="311"/>
      <c r="AN50" s="311"/>
      <c r="AO50" s="311"/>
      <c r="AP50" s="311"/>
      <c r="AQ50" s="311"/>
      <c r="AR50" s="311"/>
      <c r="AS50" s="311"/>
      <c r="AT50" s="311"/>
      <c r="AU50" s="311"/>
      <c r="AV50" s="311"/>
      <c r="AW50" s="311"/>
      <c r="AX50" s="311"/>
      <c r="AY50" s="311"/>
      <c r="AZ50" s="311"/>
      <c r="BA50" s="311"/>
      <c r="BB50" s="311"/>
      <c r="BC50" s="311"/>
      <c r="BD50" s="311"/>
      <c r="BE50" s="311"/>
      <c r="BF50" s="311"/>
      <c r="BG50" s="311"/>
      <c r="BH50" s="311"/>
      <c r="BI50" s="311"/>
      <c r="BJ50" s="311"/>
      <c r="BK50" s="311"/>
      <c r="BL50" s="311"/>
      <c r="BM50" s="311"/>
      <c r="BN50" s="311"/>
      <c r="BO50" s="311"/>
      <c r="BP50" s="311"/>
      <c r="BQ50" s="311"/>
      <c r="BR50" s="311"/>
      <c r="BS50" s="311"/>
      <c r="BT50" s="311"/>
      <c r="BU50" s="311"/>
      <c r="BV50" s="311"/>
      <c r="BW50" s="311"/>
      <c r="BX50" s="311"/>
      <c r="BY50" s="311"/>
    </row>
    <row r="51" spans="1:77" s="307" customFormat="1">
      <c r="A51" s="440"/>
      <c r="B51" s="309"/>
      <c r="C51" s="309"/>
      <c r="D51" s="309"/>
      <c r="E51" s="309"/>
      <c r="F51" s="309"/>
      <c r="G51" s="309"/>
      <c r="H51" s="309"/>
      <c r="I51" s="309"/>
      <c r="J51" s="309"/>
      <c r="K51" s="308">
        <v>80643.049999999988</v>
      </c>
      <c r="L51" s="308"/>
      <c r="M51" s="308">
        <v>61286.1</v>
      </c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  <c r="AA51" s="308"/>
      <c r="AB51" s="308"/>
      <c r="AC51" s="308"/>
      <c r="AD51" s="308"/>
      <c r="AE51" s="308"/>
      <c r="AF51" s="308"/>
      <c r="AG51" s="308"/>
      <c r="AH51" s="308"/>
      <c r="AI51" s="308"/>
      <c r="AJ51" s="308">
        <v>100000</v>
      </c>
      <c r="AK51" s="309"/>
      <c r="AL51" s="309"/>
      <c r="AM51" s="309"/>
      <c r="AN51" s="309"/>
      <c r="AO51" s="309"/>
      <c r="AP51" s="309"/>
      <c r="AQ51" s="309"/>
      <c r="AR51" s="309"/>
      <c r="AS51" s="309"/>
      <c r="AT51" s="309"/>
      <c r="AU51" s="309"/>
      <c r="AV51" s="309"/>
      <c r="AW51" s="309"/>
      <c r="AX51" s="309"/>
      <c r="AY51" s="309"/>
      <c r="AZ51" s="309"/>
      <c r="BA51" s="309"/>
      <c r="BB51" s="309"/>
      <c r="BC51" s="309"/>
      <c r="BD51" s="309"/>
      <c r="BE51" s="309"/>
      <c r="BF51" s="309"/>
      <c r="BG51" s="309"/>
      <c r="BH51" s="309"/>
      <c r="BI51" s="309"/>
      <c r="BJ51" s="309"/>
      <c r="BK51" s="309"/>
      <c r="BL51" s="309"/>
      <c r="BM51" s="309"/>
      <c r="BN51" s="309"/>
      <c r="BO51" s="309"/>
      <c r="BP51" s="309"/>
      <c r="BQ51" s="309"/>
      <c r="BR51" s="309"/>
      <c r="BS51" s="309"/>
      <c r="BT51" s="309"/>
      <c r="BU51" s="309"/>
      <c r="BV51" s="309"/>
      <c r="BW51" s="309"/>
      <c r="BX51" s="309"/>
      <c r="BY51" s="309"/>
    </row>
    <row r="52" spans="1:77">
      <c r="A52" s="312" t="s">
        <v>241</v>
      </c>
      <c r="B52" s="311"/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09"/>
      <c r="AL52" s="309"/>
      <c r="AM52" s="309"/>
      <c r="AN52" s="309"/>
      <c r="AO52" s="309"/>
      <c r="AP52" s="309"/>
      <c r="AQ52" s="309"/>
      <c r="AR52" s="309"/>
      <c r="AS52" s="309"/>
      <c r="AT52" s="309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</row>
    <row r="53" spans="1:77" s="307" customFormat="1">
      <c r="A53" s="440"/>
      <c r="B53" s="309"/>
      <c r="C53" s="309"/>
      <c r="D53" s="309"/>
      <c r="E53" s="309"/>
      <c r="F53" s="309"/>
      <c r="G53" s="309"/>
      <c r="H53" s="309"/>
      <c r="I53" s="309"/>
      <c r="J53" s="309"/>
      <c r="K53" s="309"/>
      <c r="L53" s="309"/>
      <c r="M53" s="308">
        <v>99491</v>
      </c>
      <c r="N53" s="308"/>
      <c r="O53" s="308"/>
      <c r="P53" s="308"/>
      <c r="Q53" s="308">
        <v>161286.1</v>
      </c>
      <c r="R53" s="308"/>
      <c r="S53" s="308"/>
      <c r="T53" s="308"/>
      <c r="U53" s="308">
        <v>80643.05</v>
      </c>
      <c r="V53" s="308"/>
      <c r="W53" s="308"/>
      <c r="X53" s="308"/>
      <c r="Y53" s="308">
        <v>161286.1</v>
      </c>
      <c r="Z53" s="308"/>
      <c r="AA53" s="308"/>
      <c r="AB53" s="308"/>
      <c r="AC53" s="308">
        <v>80643.05</v>
      </c>
      <c r="AD53" s="308"/>
      <c r="AE53" s="308"/>
      <c r="AF53" s="308"/>
      <c r="AG53" s="308">
        <v>80643.05</v>
      </c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  <c r="AS53" s="309"/>
      <c r="AT53" s="309"/>
      <c r="AU53" s="309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09"/>
      <c r="BI53" s="309"/>
      <c r="BJ53" s="309"/>
      <c r="BK53" s="309"/>
      <c r="BL53" s="309"/>
      <c r="BM53" s="309"/>
      <c r="BN53" s="309"/>
      <c r="BO53" s="309"/>
      <c r="BP53" s="309"/>
      <c r="BQ53" s="309"/>
      <c r="BR53" s="309"/>
      <c r="BS53" s="309"/>
      <c r="BT53" s="309"/>
      <c r="BU53" s="309"/>
      <c r="BV53" s="309"/>
      <c r="BW53" s="309"/>
      <c r="BX53" s="309"/>
      <c r="BY53" s="309"/>
    </row>
    <row r="54" spans="1:77">
      <c r="A54" s="656" t="s">
        <v>250</v>
      </c>
      <c r="B54" s="656"/>
      <c r="C54" s="656"/>
      <c r="D54" s="656"/>
      <c r="E54" s="656"/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656"/>
      <c r="AF54" s="656"/>
      <c r="AG54" s="656"/>
      <c r="AH54" s="656"/>
      <c r="AI54" s="656"/>
      <c r="AJ54" s="656"/>
      <c r="AK54" s="656"/>
      <c r="AL54" s="656"/>
      <c r="AM54" s="656"/>
      <c r="AN54" s="656"/>
      <c r="AO54" s="656"/>
      <c r="AP54" s="656"/>
      <c r="AQ54" s="656"/>
      <c r="AR54" s="656"/>
      <c r="AS54" s="656"/>
      <c r="AT54" s="656"/>
      <c r="AU54" s="656"/>
      <c r="AV54" s="656"/>
      <c r="AW54" s="656"/>
      <c r="AX54" s="656"/>
      <c r="AY54" s="656"/>
      <c r="AZ54" s="656"/>
      <c r="BA54" s="656"/>
      <c r="BB54" s="656"/>
      <c r="BC54" s="656"/>
      <c r="BD54" s="656"/>
      <c r="BE54" s="656"/>
      <c r="BF54" s="656"/>
      <c r="BG54" s="656"/>
      <c r="BH54" s="656"/>
      <c r="BI54" s="656"/>
      <c r="BJ54" s="656"/>
      <c r="BK54" s="656"/>
      <c r="BL54" s="656"/>
      <c r="BM54" s="656"/>
      <c r="BN54" s="656"/>
      <c r="BO54" s="656"/>
      <c r="BP54" s="656"/>
      <c r="BQ54" s="656"/>
      <c r="BR54" s="656"/>
      <c r="BS54" s="656"/>
      <c r="BT54" s="656"/>
      <c r="BU54" s="656"/>
      <c r="BV54" s="656"/>
      <c r="BW54" s="656"/>
      <c r="BX54" s="656"/>
      <c r="BY54" s="656"/>
    </row>
    <row r="55" spans="1:77">
      <c r="A55" s="312" t="s">
        <v>243</v>
      </c>
      <c r="B55" s="313"/>
      <c r="C55" s="313"/>
      <c r="D55" s="313"/>
      <c r="E55" s="313"/>
      <c r="F55" s="311"/>
      <c r="G55" s="311"/>
      <c r="H55" s="311"/>
      <c r="I55" s="311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  <c r="AE55" s="311"/>
      <c r="AF55" s="311"/>
      <c r="AG55" s="311"/>
      <c r="AH55" s="311"/>
      <c r="AI55" s="311"/>
      <c r="AJ55" s="311"/>
      <c r="AK55" s="311"/>
      <c r="AL55" s="311"/>
      <c r="AM55" s="311"/>
      <c r="AN55" s="311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  <c r="BL55" s="311"/>
      <c r="BM55" s="311"/>
      <c r="BN55" s="311"/>
      <c r="BO55" s="311"/>
      <c r="BP55" s="311"/>
      <c r="BQ55" s="311"/>
      <c r="BR55" s="311"/>
      <c r="BS55" s="311"/>
      <c r="BT55" s="311"/>
      <c r="BU55" s="311"/>
      <c r="BV55" s="311"/>
      <c r="BW55" s="311"/>
      <c r="BX55" s="311"/>
      <c r="BY55" s="311"/>
    </row>
    <row r="56" spans="1:77" s="307" customFormat="1">
      <c r="A56" s="314"/>
      <c r="B56" s="310">
        <f>B38</f>
        <v>33982.474999999999</v>
      </c>
      <c r="C56" s="310"/>
      <c r="D56" s="310"/>
      <c r="E56" s="310">
        <f>E47</f>
        <v>16991.237499999999</v>
      </c>
      <c r="F56" s="309"/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  <c r="AS56" s="309"/>
      <c r="AT56" s="309"/>
      <c r="AU56" s="309"/>
      <c r="AV56" s="309"/>
      <c r="AW56" s="309"/>
      <c r="AX56" s="309"/>
      <c r="AY56" s="309"/>
      <c r="AZ56" s="309"/>
      <c r="BA56" s="309"/>
      <c r="BB56" s="309"/>
      <c r="BC56" s="309"/>
      <c r="BD56" s="309"/>
      <c r="BE56" s="309"/>
      <c r="BF56" s="309"/>
      <c r="BG56" s="309"/>
      <c r="BH56" s="309"/>
      <c r="BI56" s="309"/>
      <c r="BJ56" s="309"/>
      <c r="BK56" s="309"/>
      <c r="BL56" s="309"/>
      <c r="BM56" s="309"/>
      <c r="BN56" s="309"/>
      <c r="BO56" s="309"/>
      <c r="BP56" s="309"/>
      <c r="BQ56" s="309"/>
      <c r="BR56" s="309"/>
      <c r="BS56" s="309"/>
      <c r="BT56" s="309"/>
      <c r="BU56" s="309"/>
      <c r="BV56" s="309"/>
      <c r="BW56" s="309"/>
      <c r="BX56" s="309"/>
      <c r="BY56" s="309"/>
    </row>
    <row r="57" spans="1:77">
      <c r="A57" s="312" t="s">
        <v>239</v>
      </c>
      <c r="B57" s="311"/>
      <c r="C57" s="311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09"/>
      <c r="Q57" s="309"/>
      <c r="R57" s="309"/>
      <c r="S57" s="309"/>
      <c r="T57" s="309"/>
      <c r="U57" s="309"/>
      <c r="V57" s="311"/>
      <c r="W57" s="311"/>
      <c r="X57" s="311"/>
      <c r="Y57" s="311"/>
      <c r="Z57" s="311"/>
      <c r="AA57" s="311"/>
      <c r="AB57" s="311"/>
      <c r="AC57" s="311"/>
      <c r="AD57" s="311"/>
      <c r="AE57" s="311"/>
      <c r="AF57" s="311"/>
      <c r="AG57" s="311"/>
      <c r="AH57" s="311"/>
      <c r="AI57" s="311"/>
      <c r="AJ57" s="311"/>
      <c r="AK57" s="311"/>
      <c r="AL57" s="311"/>
      <c r="AM57" s="311"/>
      <c r="AN57" s="311"/>
      <c r="AO57" s="311"/>
      <c r="AP57" s="311"/>
      <c r="AQ57" s="311"/>
      <c r="AR57" s="311"/>
      <c r="AS57" s="311"/>
      <c r="AT57" s="311"/>
      <c r="AU57" s="311"/>
      <c r="AV57" s="311"/>
      <c r="AW57" s="311"/>
      <c r="AX57" s="311"/>
      <c r="AY57" s="311"/>
      <c r="AZ57" s="311"/>
      <c r="BA57" s="311"/>
      <c r="BB57" s="311"/>
      <c r="BC57" s="311"/>
      <c r="BD57" s="311"/>
      <c r="BE57" s="311"/>
      <c r="BF57" s="311"/>
      <c r="BG57" s="311"/>
      <c r="BH57" s="311"/>
      <c r="BI57" s="311"/>
      <c r="BJ57" s="311"/>
      <c r="BK57" s="311"/>
      <c r="BL57" s="311"/>
      <c r="BM57" s="311"/>
      <c r="BN57" s="311"/>
      <c r="BO57" s="311"/>
      <c r="BP57" s="311"/>
      <c r="BQ57" s="311"/>
      <c r="BR57" s="311"/>
      <c r="BS57" s="311"/>
      <c r="BT57" s="311"/>
      <c r="BU57" s="311"/>
      <c r="BV57" s="311"/>
      <c r="BW57" s="311"/>
      <c r="BX57" s="311"/>
      <c r="BY57" s="311"/>
    </row>
    <row r="58" spans="1:77" s="307" customFormat="1">
      <c r="A58" s="314"/>
      <c r="B58" s="309"/>
      <c r="C58" s="309"/>
      <c r="D58" s="308">
        <v>86338.060000000012</v>
      </c>
      <c r="E58" s="308"/>
      <c r="F58" s="308"/>
      <c r="G58" s="308"/>
      <c r="H58" s="308">
        <v>71870.460000000006</v>
      </c>
      <c r="I58" s="308"/>
      <c r="J58" s="308"/>
      <c r="K58" s="308"/>
      <c r="L58" s="308">
        <v>71870.460000000006</v>
      </c>
      <c r="M58" s="308"/>
      <c r="N58" s="308"/>
      <c r="O58" s="308">
        <v>71870.460000000006</v>
      </c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09"/>
      <c r="AO58" s="309"/>
      <c r="AP58" s="309"/>
      <c r="AQ58" s="309"/>
      <c r="AR58" s="309"/>
      <c r="AS58" s="309"/>
      <c r="AT58" s="309"/>
      <c r="AU58" s="309"/>
      <c r="AV58" s="309"/>
      <c r="AW58" s="309"/>
      <c r="AX58" s="309"/>
      <c r="AY58" s="309"/>
      <c r="AZ58" s="309"/>
      <c r="BA58" s="309"/>
      <c r="BB58" s="309"/>
      <c r="BC58" s="309"/>
      <c r="BD58" s="309"/>
      <c r="BE58" s="309"/>
      <c r="BF58" s="309"/>
      <c r="BG58" s="309"/>
      <c r="BH58" s="309"/>
      <c r="BI58" s="309"/>
      <c r="BJ58" s="309"/>
      <c r="BK58" s="309"/>
      <c r="BL58" s="309"/>
      <c r="BM58" s="309"/>
      <c r="BN58" s="309"/>
      <c r="BO58" s="309"/>
      <c r="BP58" s="309"/>
      <c r="BQ58" s="309"/>
      <c r="BR58" s="309"/>
      <c r="BS58" s="309"/>
      <c r="BT58" s="309"/>
      <c r="BU58" s="309"/>
      <c r="BV58" s="309"/>
      <c r="BW58" s="309"/>
      <c r="BX58" s="309"/>
      <c r="BY58" s="309"/>
    </row>
    <row r="59" spans="1:77" ht="25.5">
      <c r="A59" s="439" t="s">
        <v>247</v>
      </c>
      <c r="B59" s="311"/>
      <c r="C59" s="311"/>
      <c r="D59" s="311"/>
      <c r="E59" s="311"/>
      <c r="F59" s="311"/>
      <c r="G59" s="311"/>
      <c r="H59" s="311"/>
      <c r="I59" s="311"/>
      <c r="J59" s="311"/>
      <c r="K59" s="311"/>
      <c r="L59" s="311"/>
      <c r="M59" s="311"/>
      <c r="N59" s="313"/>
      <c r="O59" s="313"/>
      <c r="P59" s="313"/>
      <c r="Q59" s="313"/>
      <c r="R59" s="309"/>
      <c r="S59" s="311"/>
      <c r="T59" s="311"/>
      <c r="U59" s="311"/>
      <c r="V59" s="311"/>
      <c r="W59" s="311"/>
      <c r="X59" s="311"/>
      <c r="Y59" s="311"/>
      <c r="Z59" s="311"/>
      <c r="AA59" s="311"/>
      <c r="AB59" s="311"/>
      <c r="AC59" s="311"/>
      <c r="AD59" s="311"/>
      <c r="AE59" s="311"/>
      <c r="AF59" s="311"/>
      <c r="AG59" s="311"/>
      <c r="AH59" s="311"/>
      <c r="AI59" s="311"/>
      <c r="AJ59" s="311"/>
      <c r="AK59" s="311"/>
      <c r="AL59" s="311"/>
      <c r="AM59" s="311"/>
      <c r="AN59" s="311"/>
      <c r="AO59" s="311"/>
      <c r="AP59" s="311"/>
      <c r="AQ59" s="311"/>
      <c r="AR59" s="311"/>
      <c r="AS59" s="311"/>
      <c r="AT59" s="311"/>
      <c r="AU59" s="311"/>
      <c r="AV59" s="311"/>
      <c r="AW59" s="311"/>
      <c r="AX59" s="311"/>
      <c r="AY59" s="311"/>
      <c r="AZ59" s="311"/>
      <c r="BA59" s="311"/>
      <c r="BB59" s="311"/>
      <c r="BC59" s="311"/>
      <c r="BD59" s="311"/>
      <c r="BE59" s="311"/>
      <c r="BF59" s="311"/>
      <c r="BG59" s="311"/>
      <c r="BH59" s="311"/>
      <c r="BI59" s="311"/>
      <c r="BJ59" s="311"/>
      <c r="BK59" s="311"/>
      <c r="BL59" s="311"/>
      <c r="BM59" s="311"/>
      <c r="BN59" s="311"/>
      <c r="BO59" s="311"/>
      <c r="BP59" s="311"/>
      <c r="BQ59" s="311"/>
      <c r="BR59" s="311"/>
      <c r="BS59" s="311"/>
      <c r="BT59" s="311"/>
      <c r="BU59" s="311"/>
      <c r="BV59" s="311"/>
      <c r="BW59" s="311"/>
    </row>
    <row r="60" spans="1:77">
      <c r="A60" s="439"/>
      <c r="B60" s="311"/>
      <c r="C60" s="311"/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  <c r="O60" s="309"/>
      <c r="P60" s="309"/>
      <c r="Q60" s="309"/>
      <c r="R60" s="309"/>
      <c r="S60" s="311"/>
      <c r="T60" s="311"/>
      <c r="U60" s="311"/>
      <c r="V60" s="311"/>
      <c r="W60" s="311"/>
      <c r="X60" s="311"/>
      <c r="Y60" s="311"/>
      <c r="Z60" s="311"/>
      <c r="AA60" s="311"/>
      <c r="AB60" s="311"/>
      <c r="AC60" s="311"/>
      <c r="AD60" s="311"/>
      <c r="AE60" s="311"/>
      <c r="AF60" s="311"/>
      <c r="AG60" s="311"/>
      <c r="AH60" s="311"/>
      <c r="AI60" s="311"/>
      <c r="AJ60" s="311"/>
      <c r="AK60" s="311"/>
      <c r="AL60" s="311"/>
      <c r="AM60" s="311"/>
      <c r="AN60" s="311"/>
      <c r="AO60" s="311"/>
      <c r="AP60" s="311"/>
      <c r="AQ60" s="311"/>
      <c r="AR60" s="311"/>
      <c r="AS60" s="311"/>
      <c r="AT60" s="311"/>
      <c r="AU60" s="311"/>
      <c r="AV60" s="311"/>
      <c r="AW60" s="311"/>
      <c r="AX60" s="311"/>
      <c r="AY60" s="311"/>
      <c r="AZ60" s="311"/>
      <c r="BA60" s="311"/>
      <c r="BB60" s="311"/>
      <c r="BC60" s="311"/>
      <c r="BD60" s="311"/>
      <c r="BE60" s="311"/>
      <c r="BF60" s="311"/>
      <c r="BG60" s="311"/>
      <c r="BH60" s="311"/>
      <c r="BI60" s="311"/>
      <c r="BJ60" s="311"/>
      <c r="BK60" s="311"/>
      <c r="BL60" s="311"/>
      <c r="BM60" s="311"/>
      <c r="BN60" s="311"/>
      <c r="BO60" s="311"/>
      <c r="BP60" s="311"/>
      <c r="BQ60" s="313"/>
      <c r="BR60" s="313"/>
      <c r="BS60" s="313"/>
      <c r="BT60" s="313"/>
      <c r="BU60" s="311"/>
      <c r="BV60" s="311"/>
      <c r="BW60" s="311"/>
    </row>
    <row r="61" spans="1:77" s="307" customFormat="1">
      <c r="A61" s="314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8">
        <v>116548.07</v>
      </c>
      <c r="O61" s="308"/>
      <c r="P61" s="308"/>
      <c r="Q61" s="308">
        <v>61286.1</v>
      </c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10">
        <v>86250</v>
      </c>
      <c r="BR61" s="309"/>
      <c r="BS61" s="309"/>
      <c r="BT61" s="310">
        <v>100000</v>
      </c>
      <c r="BU61" s="309"/>
      <c r="BV61" s="309"/>
      <c r="BW61" s="309"/>
    </row>
    <row r="62" spans="1:77">
      <c r="A62" s="312" t="s">
        <v>241</v>
      </c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3"/>
      <c r="AV62" s="313"/>
      <c r="AW62" s="313"/>
      <c r="AX62" s="313"/>
      <c r="AY62" s="313"/>
      <c r="AZ62" s="313"/>
      <c r="BA62" s="313"/>
      <c r="BB62" s="313"/>
      <c r="BC62" s="313"/>
      <c r="BD62" s="313"/>
      <c r="BE62" s="313"/>
      <c r="BF62" s="313"/>
      <c r="BG62" s="313"/>
      <c r="BH62" s="313"/>
      <c r="BI62" s="313"/>
      <c r="BJ62" s="313"/>
      <c r="BK62" s="313"/>
      <c r="BL62" s="313"/>
      <c r="BM62" s="313"/>
      <c r="BN62" s="313"/>
      <c r="BO62" s="313"/>
      <c r="BP62" s="313"/>
      <c r="BQ62" s="313"/>
      <c r="BR62" s="313"/>
      <c r="BS62" s="313"/>
      <c r="BT62" s="313"/>
      <c r="BU62" s="309"/>
      <c r="BV62" s="309"/>
      <c r="BW62" s="309"/>
    </row>
    <row r="63" spans="1:77">
      <c r="A63" s="438"/>
      <c r="B63" s="311"/>
      <c r="C63" s="311"/>
      <c r="D63" s="311"/>
      <c r="E63" s="311"/>
      <c r="F63" s="311"/>
      <c r="G63" s="311"/>
      <c r="H63" s="311"/>
      <c r="I63" s="311"/>
      <c r="J63" s="311"/>
      <c r="K63" s="311"/>
      <c r="L63" s="311"/>
      <c r="M63" s="311"/>
      <c r="N63" s="311"/>
      <c r="O63" s="311"/>
      <c r="P63" s="311"/>
      <c r="Q63" s="308">
        <v>88922.35</v>
      </c>
      <c r="R63" s="308"/>
      <c r="S63" s="308"/>
      <c r="T63" s="308"/>
      <c r="U63" s="308">
        <v>199620</v>
      </c>
      <c r="V63" s="308"/>
      <c r="W63" s="308"/>
      <c r="X63" s="308"/>
      <c r="Y63" s="308">
        <v>664397.93750000012</v>
      </c>
      <c r="Z63" s="308"/>
      <c r="AA63" s="308"/>
      <c r="AB63" s="308"/>
      <c r="AC63" s="308">
        <v>664397.93750000012</v>
      </c>
      <c r="AD63" s="308"/>
      <c r="AE63" s="308"/>
      <c r="AF63" s="308"/>
      <c r="AG63" s="308">
        <v>664397.93750000012</v>
      </c>
      <c r="AH63" s="308"/>
      <c r="AI63" s="308"/>
      <c r="AJ63" s="308"/>
      <c r="AK63" s="308">
        <v>664397.93750000012</v>
      </c>
      <c r="AL63" s="308"/>
      <c r="AM63" s="308"/>
      <c r="AN63" s="308"/>
      <c r="AO63" s="308">
        <v>664397.93750000012</v>
      </c>
      <c r="AP63" s="308"/>
      <c r="AQ63" s="308"/>
      <c r="AR63" s="308"/>
      <c r="AS63" s="308">
        <v>664397.93750000012</v>
      </c>
      <c r="AT63" s="308"/>
      <c r="AU63" s="308"/>
      <c r="AV63" s="308"/>
      <c r="AW63" s="308">
        <v>1095347.9375</v>
      </c>
      <c r="AX63" s="308"/>
      <c r="AY63" s="308"/>
      <c r="AZ63" s="308"/>
      <c r="BA63" s="308">
        <v>1095347.9375</v>
      </c>
      <c r="BB63" s="308"/>
      <c r="BC63" s="308"/>
      <c r="BD63" s="308"/>
      <c r="BE63" s="308">
        <v>1095347.9375</v>
      </c>
      <c r="BF63" s="308"/>
      <c r="BG63" s="308"/>
      <c r="BH63" s="308"/>
      <c r="BI63" s="308">
        <v>1562014.6041666667</v>
      </c>
      <c r="BJ63" s="308"/>
      <c r="BK63" s="308"/>
      <c r="BL63" s="308"/>
      <c r="BM63" s="308"/>
      <c r="BN63" s="308">
        <v>1562014.6041666667</v>
      </c>
      <c r="BO63" s="308"/>
      <c r="BP63" s="308"/>
      <c r="BQ63" s="308">
        <v>598965.22</v>
      </c>
      <c r="BR63" s="308"/>
      <c r="BS63" s="308"/>
      <c r="BT63" s="308">
        <v>598965.21499999997</v>
      </c>
      <c r="BU63" s="309"/>
      <c r="BV63" s="309"/>
      <c r="BW63" s="309"/>
      <c r="BX63" s="309"/>
      <c r="BY63" s="309"/>
    </row>
  </sheetData>
  <sheetProtection password="C643" sheet="1" objects="1" scenarios="1"/>
  <mergeCells count="26">
    <mergeCell ref="J1:M1"/>
    <mergeCell ref="N1:Q1"/>
    <mergeCell ref="R1:U1"/>
    <mergeCell ref="V1:Y1"/>
    <mergeCell ref="A45:BY45"/>
    <mergeCell ref="BJ1:BM1"/>
    <mergeCell ref="BN1:BQ1"/>
    <mergeCell ref="BR1:BU1"/>
    <mergeCell ref="Z1:AC1"/>
    <mergeCell ref="AD1:AG1"/>
    <mergeCell ref="A54:BY54"/>
    <mergeCell ref="BV1:BY1"/>
    <mergeCell ref="A2:BY2"/>
    <mergeCell ref="A9:BY9"/>
    <mergeCell ref="A18:BY18"/>
    <mergeCell ref="A27:BY27"/>
    <mergeCell ref="A36:BY36"/>
    <mergeCell ref="AX1:BA1"/>
    <mergeCell ref="BB1:BE1"/>
    <mergeCell ref="AH1:AK1"/>
    <mergeCell ref="AL1:AO1"/>
    <mergeCell ref="AP1:AS1"/>
    <mergeCell ref="AT1:AW1"/>
    <mergeCell ref="B1:E1"/>
    <mergeCell ref="F1:I1"/>
    <mergeCell ref="BF1:BI1"/>
  </mergeCells>
  <pageMargins left="0.51181102362204722" right="0.51181102362204722" top="0.78740157480314965" bottom="0.78740157480314965" header="0.31496062992125984" footer="0.31496062992125984"/>
  <pageSetup paperSize="63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Felipe Schwartz</dc:creator>
  <cp:keywords/>
  <dc:description/>
  <cp:lastModifiedBy>Eduardo Sá</cp:lastModifiedBy>
  <cp:revision/>
  <dcterms:created xsi:type="dcterms:W3CDTF">2021-05-06T17:14:23Z</dcterms:created>
  <dcterms:modified xsi:type="dcterms:W3CDTF">2025-01-06T14:49:29Z</dcterms:modified>
  <cp:category/>
  <cp:contentStatus/>
</cp:coreProperties>
</file>